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ars" sheetId="1" r:id="rId1"/>
    <sheet name="Cards" sheetId="2" r:id="rId2"/>
    <sheet name="Loco" sheetId="3" r:id="rId3"/>
    <sheet name="CarMovement" sheetId="4" r:id="rId4"/>
    <sheet name="OldCars" sheetId="5" r:id="rId5"/>
  </sheets>
  <externalReferences>
    <externalReference r:id="rId8"/>
  </externalReferences>
  <definedNames>
    <definedName name="_xlnm._FilterDatabase" localSheetId="0" hidden="1">'Cars'!$A$8:$F$308</definedName>
    <definedName name="Card1">'Cars'!$A$3</definedName>
    <definedName name="Card2">'Cars'!$B$3</definedName>
    <definedName name="Card3">'Cars'!$C$3</definedName>
    <definedName name="Card4">'Cars'!$D$3</definedName>
    <definedName name="Card5">'Cars'!$E$3</definedName>
    <definedName name="Frachtsatz1">'[1]waybilldata'!$A$3</definedName>
    <definedName name="Loco1">'Cars'!$A$4</definedName>
    <definedName name="Loco2">'Cars'!$B$4</definedName>
    <definedName name="Loco3">'Cars'!$C$4</definedName>
    <definedName name="Loco4">'Cars'!$D$4</definedName>
    <definedName name="Loco5">'Cars'!$E$4</definedName>
    <definedName name="MovementDB">'CarMovement'!$B$1:$S$49</definedName>
    <definedName name="StockInUse">'CarMovement'!$A$1:$S$56</definedName>
  </definedNames>
  <calcPr fullCalcOnLoad="1"/>
</workbook>
</file>

<file path=xl/sharedStrings.xml><?xml version="1.0" encoding="utf-8"?>
<sst xmlns="http://schemas.openxmlformats.org/spreadsheetml/2006/main" count="1097" uniqueCount="183">
  <si>
    <t>XM</t>
  </si>
  <si>
    <t>Brown</t>
  </si>
  <si>
    <t>Boxcar</t>
  </si>
  <si>
    <t>TM</t>
  </si>
  <si>
    <t>Tank Car</t>
  </si>
  <si>
    <t>ATSF</t>
  </si>
  <si>
    <t>LO</t>
  </si>
  <si>
    <t>Covered Hopper</t>
  </si>
  <si>
    <t>Orange</t>
  </si>
  <si>
    <t>Reefer</t>
  </si>
  <si>
    <t>Yellow</t>
  </si>
  <si>
    <t>GB</t>
  </si>
  <si>
    <t>Gondola</t>
  </si>
  <si>
    <t>CB&amp;Q</t>
  </si>
  <si>
    <t>Red</t>
  </si>
  <si>
    <t>HM</t>
  </si>
  <si>
    <t>Hopper</t>
  </si>
  <si>
    <t>Black</t>
  </si>
  <si>
    <t>Grey</t>
  </si>
  <si>
    <t>GATX</t>
  </si>
  <si>
    <t>Green</t>
  </si>
  <si>
    <t>FM</t>
  </si>
  <si>
    <t>Flat Car</t>
  </si>
  <si>
    <t>Silver</t>
  </si>
  <si>
    <t>MILW</t>
  </si>
  <si>
    <t>N&amp;W</t>
  </si>
  <si>
    <t>White</t>
  </si>
  <si>
    <t>RI</t>
  </si>
  <si>
    <t>SFRD</t>
  </si>
  <si>
    <t>SOO</t>
  </si>
  <si>
    <t>SP</t>
  </si>
  <si>
    <t>AAR</t>
  </si>
  <si>
    <t>Road</t>
  </si>
  <si>
    <t>Number</t>
  </si>
  <si>
    <t>Colour</t>
  </si>
  <si>
    <t>Name</t>
  </si>
  <si>
    <t>NBR</t>
  </si>
  <si>
    <t>GP7</t>
  </si>
  <si>
    <t>Max</t>
  </si>
  <si>
    <t>GP9</t>
  </si>
  <si>
    <t>6 Cars</t>
  </si>
  <si>
    <t>UP</t>
  </si>
  <si>
    <t>5 Cars</t>
  </si>
  <si>
    <t>F1</t>
  </si>
  <si>
    <t>F2</t>
  </si>
  <si>
    <t>F3</t>
  </si>
  <si>
    <t>F4</t>
  </si>
  <si>
    <t>Bell</t>
  </si>
  <si>
    <t>Whistle</t>
  </si>
  <si>
    <t>SD7</t>
  </si>
  <si>
    <t>SHPX</t>
  </si>
  <si>
    <t xml:space="preserve"> </t>
  </si>
  <si>
    <t>2-8-0</t>
  </si>
  <si>
    <t>2-8-2</t>
  </si>
  <si>
    <t>8 Cars</t>
  </si>
  <si>
    <t>UCOX</t>
  </si>
  <si>
    <t>SLSF</t>
  </si>
  <si>
    <t>KCS</t>
  </si>
  <si>
    <t>CR</t>
  </si>
  <si>
    <t>BN</t>
  </si>
  <si>
    <t>IBPX</t>
  </si>
  <si>
    <t>URTX</t>
  </si>
  <si>
    <t>RP</t>
  </si>
  <si>
    <t>GT</t>
  </si>
  <si>
    <t>SFRC</t>
  </si>
  <si>
    <t>NATX</t>
  </si>
  <si>
    <t>MKT</t>
  </si>
  <si>
    <t>MP</t>
  </si>
  <si>
    <t>Blue</t>
  </si>
  <si>
    <t xml:space="preserve">ATSF  </t>
  </si>
  <si>
    <t xml:space="preserve">CNW   </t>
  </si>
  <si>
    <t>SD50</t>
  </si>
  <si>
    <t xml:space="preserve">MILW  </t>
  </si>
  <si>
    <t xml:space="preserve">MILW   </t>
  </si>
  <si>
    <t xml:space="preserve">UP  </t>
  </si>
  <si>
    <t xml:space="preserve">SD40-2 </t>
  </si>
  <si>
    <t xml:space="preserve">KCS  </t>
  </si>
  <si>
    <t xml:space="preserve">SW1000 </t>
  </si>
  <si>
    <t xml:space="preserve">RI  </t>
  </si>
  <si>
    <t xml:space="preserve">GP38-2 </t>
  </si>
  <si>
    <t xml:space="preserve">SW1500 </t>
  </si>
  <si>
    <t xml:space="preserve">8-40B </t>
  </si>
  <si>
    <t>GP38</t>
  </si>
  <si>
    <t>SD40-2</t>
  </si>
  <si>
    <t>S4</t>
  </si>
  <si>
    <t>SW9</t>
  </si>
  <si>
    <t>GP40</t>
  </si>
  <si>
    <t>10 Cars</t>
  </si>
  <si>
    <t>GP35</t>
  </si>
  <si>
    <t>F0</t>
  </si>
  <si>
    <t>Headlight</t>
  </si>
  <si>
    <t>WFBX</t>
  </si>
  <si>
    <t>SVX</t>
  </si>
  <si>
    <t>RTCX</t>
  </si>
  <si>
    <t>ACFX</t>
  </si>
  <si>
    <t>MOBX</t>
  </si>
  <si>
    <t>PLMX</t>
  </si>
  <si>
    <t>RBOX</t>
  </si>
  <si>
    <t>Car Cards</t>
  </si>
  <si>
    <t>Loco Cards</t>
  </si>
  <si>
    <t>Horn</t>
  </si>
  <si>
    <t>Coupler</t>
  </si>
  <si>
    <t>F5</t>
  </si>
  <si>
    <t>SW7</t>
  </si>
  <si>
    <t>Locos</t>
  </si>
  <si>
    <t>F6</t>
  </si>
  <si>
    <t>F7</t>
  </si>
  <si>
    <t>F8</t>
  </si>
  <si>
    <t>Fans</t>
  </si>
  <si>
    <t>Dyanmic brakes</t>
  </si>
  <si>
    <t>Blower</t>
  </si>
  <si>
    <t>Injector</t>
  </si>
  <si>
    <t>Dynamic brakes</t>
  </si>
  <si>
    <t>SW8</t>
  </si>
  <si>
    <t>Milw designation</t>
  </si>
  <si>
    <t>30-ERS-6</t>
  </si>
  <si>
    <t>10-AS</t>
  </si>
  <si>
    <t>20-ERS-4</t>
  </si>
  <si>
    <t>17.5-ERS</t>
  </si>
  <si>
    <t>L3a</t>
  </si>
  <si>
    <t>9-ES</t>
  </si>
  <si>
    <t>30-ERS-4</t>
  </si>
  <si>
    <t>10-ES</t>
  </si>
  <si>
    <t>Return to Fuel Track</t>
  </si>
  <si>
    <t>0-6-0</t>
  </si>
  <si>
    <t>WFCX</t>
  </si>
  <si>
    <t>FGMR</t>
  </si>
  <si>
    <t>NE</t>
  </si>
  <si>
    <t>Caboose</t>
  </si>
  <si>
    <t>064</t>
  </si>
  <si>
    <t>WEST WYE TOWER</t>
  </si>
  <si>
    <t>Type</t>
  </si>
  <si>
    <t>Lumber</t>
  </si>
  <si>
    <t>Gravel</t>
  </si>
  <si>
    <t>Refinery</t>
  </si>
  <si>
    <t>Freight</t>
  </si>
  <si>
    <t>Std Oil</t>
  </si>
  <si>
    <t>Team</t>
  </si>
  <si>
    <t>Cold</t>
  </si>
  <si>
    <t>Grain</t>
  </si>
  <si>
    <t>#</t>
  </si>
  <si>
    <t>Waybill</t>
  </si>
  <si>
    <t>Mill</t>
  </si>
  <si>
    <t>Totals</t>
  </si>
  <si>
    <t>**</t>
  </si>
  <si>
    <t>delete</t>
  </si>
  <si>
    <t>F7-A</t>
  </si>
  <si>
    <t>75-A</t>
  </si>
  <si>
    <t>Air release</t>
  </si>
  <si>
    <t>Brake</t>
  </si>
  <si>
    <t>Dynamic Brake</t>
  </si>
  <si>
    <t>Coupler Arm</t>
  </si>
  <si>
    <t>Coupler Fire</t>
  </si>
  <si>
    <t>15-EF</t>
  </si>
  <si>
    <t>75-C</t>
  </si>
  <si>
    <t>U25B</t>
  </si>
  <si>
    <t>25-GRS</t>
  </si>
  <si>
    <t>F9-A</t>
  </si>
  <si>
    <t>97-A</t>
  </si>
  <si>
    <t>17.5-EF</t>
  </si>
  <si>
    <t>F9-B</t>
  </si>
  <si>
    <t>97-B</t>
  </si>
  <si>
    <t>FP7</t>
  </si>
  <si>
    <t>103A</t>
  </si>
  <si>
    <t>15-EP</t>
  </si>
  <si>
    <t>MP15DC</t>
  </si>
  <si>
    <t>Service / Special</t>
  </si>
  <si>
    <t>MU Address 34</t>
  </si>
  <si>
    <t>MU Address 97</t>
  </si>
  <si>
    <t>MU Address 75</t>
  </si>
  <si>
    <t>FB</t>
  </si>
  <si>
    <t>Bulkhead Flat</t>
  </si>
  <si>
    <t>CP</t>
  </si>
  <si>
    <t>SSW</t>
  </si>
  <si>
    <t>Pulp Flat</t>
  </si>
  <si>
    <t>MP15AC</t>
  </si>
  <si>
    <t>15-ES</t>
  </si>
  <si>
    <t>H10-44</t>
  </si>
  <si>
    <t>10-FS</t>
  </si>
  <si>
    <t>U28B</t>
  </si>
  <si>
    <t>28-GRS-4</t>
  </si>
  <si>
    <t>TLDX</t>
  </si>
  <si>
    <t>ABOX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</si>
</sst>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Palatino"/>
      <family val="1"/>
    </font>
    <font>
      <sz val="16"/>
      <name val="MilwaukeeRoadStationSign"/>
      <family val="0"/>
    </font>
    <font>
      <sz val="16"/>
      <name val="Palatino"/>
      <family val="1"/>
    </font>
    <font>
      <b/>
      <sz val="10"/>
      <name val="Palatino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cards%20&amp;%20Waybil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ybill front"/>
      <sheetName val="waybill back"/>
      <sheetName val="waybilldata"/>
    </sheetNames>
    <sheetDataSet>
      <sheetData sheetId="2">
        <row r="3">
          <cell r="A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21"/>
  <sheetViews>
    <sheetView zoomScalePageLayoutView="0" workbookViewId="0" topLeftCell="A1">
      <pane ySplit="8" topLeftCell="A75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3" max="3" width="9.140625" style="22" customWidth="1"/>
    <col min="6" max="6" width="14.421875" style="0" customWidth="1"/>
  </cols>
  <sheetData>
    <row r="3" spans="1:8" ht="15.75" customHeight="1">
      <c r="A3" s="34">
        <v>104</v>
      </c>
      <c r="B3" s="34">
        <v>105</v>
      </c>
      <c r="C3" s="34">
        <v>106</v>
      </c>
      <c r="D3" s="34">
        <v>107</v>
      </c>
      <c r="E3" s="34">
        <v>108</v>
      </c>
      <c r="F3" s="33" t="s">
        <v>98</v>
      </c>
      <c r="H3" s="28" t="s">
        <v>130</v>
      </c>
    </row>
    <row r="4" spans="1:6" ht="15.75" customHeight="1">
      <c r="A4" s="35">
        <v>205</v>
      </c>
      <c r="B4" s="35">
        <v>239</v>
      </c>
      <c r="C4" s="35">
        <v>240</v>
      </c>
      <c r="D4" s="35">
        <v>241</v>
      </c>
      <c r="E4" s="35">
        <v>242</v>
      </c>
      <c r="F4" s="33" t="s">
        <v>99</v>
      </c>
    </row>
    <row r="5" ht="12.75">
      <c r="E5" t="s">
        <v>51</v>
      </c>
    </row>
    <row r="7" ht="13.5" thickBot="1"/>
    <row r="8" spans="1:6" ht="18" customHeight="1" thickBot="1">
      <c r="A8" s="7" t="s">
        <v>36</v>
      </c>
      <c r="B8" s="2" t="s">
        <v>31</v>
      </c>
      <c r="C8" s="3" t="s">
        <v>32</v>
      </c>
      <c r="D8" s="3" t="s">
        <v>33</v>
      </c>
      <c r="E8" s="3" t="s">
        <v>34</v>
      </c>
      <c r="F8" s="4" t="s">
        <v>35</v>
      </c>
    </row>
    <row r="9" spans="1:6" ht="16.5" customHeight="1">
      <c r="A9" s="1">
        <v>1</v>
      </c>
      <c r="B9" s="1" t="s">
        <v>15</v>
      </c>
      <c r="C9" s="1" t="s">
        <v>5</v>
      </c>
      <c r="D9" s="1">
        <v>183180</v>
      </c>
      <c r="E9" s="1" t="s">
        <v>14</v>
      </c>
      <c r="F9" s="1" t="s">
        <v>16</v>
      </c>
    </row>
    <row r="10" spans="1:6" ht="12.75">
      <c r="A10" s="1">
        <v>2</v>
      </c>
      <c r="B10" s="1" t="s">
        <v>3</v>
      </c>
      <c r="C10" s="1" t="s">
        <v>55</v>
      </c>
      <c r="D10" s="1">
        <v>10172</v>
      </c>
      <c r="E10" s="1" t="s">
        <v>68</v>
      </c>
      <c r="F10" s="1" t="s">
        <v>4</v>
      </c>
    </row>
    <row r="11" spans="1:6" ht="12.75">
      <c r="A11" s="1">
        <v>3</v>
      </c>
      <c r="B11" s="1" t="s">
        <v>6</v>
      </c>
      <c r="C11" s="1" t="s">
        <v>24</v>
      </c>
      <c r="D11" s="1">
        <v>97658</v>
      </c>
      <c r="E11" s="1" t="s">
        <v>18</v>
      </c>
      <c r="F11" s="1" t="s">
        <v>7</v>
      </c>
    </row>
    <row r="12" spans="1:6" ht="12.75">
      <c r="A12" s="1">
        <v>4</v>
      </c>
      <c r="B12" s="1" t="s">
        <v>0</v>
      </c>
      <c r="C12" s="1" t="s">
        <v>56</v>
      </c>
      <c r="D12" s="1">
        <v>42106</v>
      </c>
      <c r="E12" s="1" t="s">
        <v>1</v>
      </c>
      <c r="F12" s="1" t="s">
        <v>2</v>
      </c>
    </row>
    <row r="13" spans="1:6" ht="12.75">
      <c r="A13" s="1">
        <v>5</v>
      </c>
      <c r="B13" s="1" t="s">
        <v>0</v>
      </c>
      <c r="C13" s="1" t="s">
        <v>57</v>
      </c>
      <c r="D13" s="1">
        <v>1368</v>
      </c>
      <c r="E13" s="1" t="s">
        <v>14</v>
      </c>
      <c r="F13" s="1" t="s">
        <v>2</v>
      </c>
    </row>
    <row r="14" spans="1:6" ht="12.75">
      <c r="A14" s="1">
        <v>6</v>
      </c>
      <c r="B14" s="1" t="s">
        <v>0</v>
      </c>
      <c r="C14" s="1" t="s">
        <v>57</v>
      </c>
      <c r="D14" s="1">
        <v>20897</v>
      </c>
      <c r="E14" s="1" t="s">
        <v>14</v>
      </c>
      <c r="F14" s="1" t="s">
        <v>2</v>
      </c>
    </row>
    <row r="15" spans="1:6" ht="12.75">
      <c r="A15" s="1">
        <v>7</v>
      </c>
      <c r="B15" s="1" t="s">
        <v>21</v>
      </c>
      <c r="C15" s="1" t="s">
        <v>29</v>
      </c>
      <c r="D15" s="1">
        <v>5243</v>
      </c>
      <c r="E15" s="1" t="s">
        <v>1</v>
      </c>
      <c r="F15" s="1" t="s">
        <v>22</v>
      </c>
    </row>
    <row r="16" spans="1:6" ht="12.75">
      <c r="A16" s="1">
        <v>8</v>
      </c>
      <c r="B16" s="1" t="s">
        <v>21</v>
      </c>
      <c r="C16" s="1" t="s">
        <v>58</v>
      </c>
      <c r="D16" s="1">
        <v>69323</v>
      </c>
      <c r="E16" s="1" t="s">
        <v>1</v>
      </c>
      <c r="F16" s="1" t="s">
        <v>22</v>
      </c>
    </row>
    <row r="17" spans="1:6" ht="12.75">
      <c r="A17" s="1">
        <v>9</v>
      </c>
      <c r="B17" s="1" t="s">
        <v>11</v>
      </c>
      <c r="C17" s="1" t="s">
        <v>59</v>
      </c>
      <c r="D17" s="1">
        <v>566191</v>
      </c>
      <c r="E17" s="1" t="s">
        <v>20</v>
      </c>
      <c r="F17" s="1" t="s">
        <v>12</v>
      </c>
    </row>
    <row r="18" spans="1:6" ht="12.75">
      <c r="A18" s="1">
        <v>10</v>
      </c>
      <c r="B18" s="1" t="s">
        <v>62</v>
      </c>
      <c r="C18" s="1" t="s">
        <v>60</v>
      </c>
      <c r="D18" s="1">
        <v>700</v>
      </c>
      <c r="E18" s="1" t="s">
        <v>8</v>
      </c>
      <c r="F18" s="1" t="s">
        <v>9</v>
      </c>
    </row>
    <row r="19" spans="1:6" ht="12.75">
      <c r="A19" s="1">
        <v>11</v>
      </c>
      <c r="B19" s="1" t="s">
        <v>0</v>
      </c>
      <c r="C19" s="1" t="s">
        <v>5</v>
      </c>
      <c r="D19" s="1">
        <v>16989</v>
      </c>
      <c r="E19" s="1" t="s">
        <v>14</v>
      </c>
      <c r="F19" s="1" t="s">
        <v>2</v>
      </c>
    </row>
    <row r="20" spans="1:6" ht="12.75">
      <c r="A20" s="1">
        <v>12</v>
      </c>
      <c r="B20" s="1" t="s">
        <v>0</v>
      </c>
      <c r="C20" s="1" t="s">
        <v>5</v>
      </c>
      <c r="D20" s="1">
        <v>142244</v>
      </c>
      <c r="E20" s="1" t="s">
        <v>1</v>
      </c>
      <c r="F20" s="1" t="s">
        <v>2</v>
      </c>
    </row>
    <row r="21" spans="1:6" ht="12.75">
      <c r="A21" s="1">
        <v>13</v>
      </c>
      <c r="B21" s="1" t="s">
        <v>62</v>
      </c>
      <c r="C21" s="1" t="s">
        <v>61</v>
      </c>
      <c r="D21" s="1">
        <v>818</v>
      </c>
      <c r="E21" s="1" t="s">
        <v>8</v>
      </c>
      <c r="F21" s="1" t="s">
        <v>9</v>
      </c>
    </row>
    <row r="22" spans="1:6" ht="12.75">
      <c r="A22" s="1">
        <v>14</v>
      </c>
      <c r="B22" s="1" t="s">
        <v>3</v>
      </c>
      <c r="C22" s="1" t="s">
        <v>19</v>
      </c>
      <c r="D22" s="1">
        <v>17399</v>
      </c>
      <c r="E22" s="1" t="s">
        <v>17</v>
      </c>
      <c r="F22" s="1" t="s">
        <v>4</v>
      </c>
    </row>
    <row r="23" spans="1:6" ht="12.75">
      <c r="A23" s="1">
        <v>15</v>
      </c>
      <c r="B23" s="1" t="s">
        <v>0</v>
      </c>
      <c r="C23" s="1" t="s">
        <v>24</v>
      </c>
      <c r="D23" s="1">
        <v>3891</v>
      </c>
      <c r="E23" s="1" t="s">
        <v>1</v>
      </c>
      <c r="F23" s="1" t="s">
        <v>2</v>
      </c>
    </row>
    <row r="24" spans="1:6" ht="12.75">
      <c r="A24" s="1">
        <v>16</v>
      </c>
      <c r="B24" s="1" t="s">
        <v>6</v>
      </c>
      <c r="C24" s="1" t="s">
        <v>27</v>
      </c>
      <c r="D24" s="1">
        <v>131053</v>
      </c>
      <c r="E24" s="1" t="s">
        <v>18</v>
      </c>
      <c r="F24" s="1" t="s">
        <v>7</v>
      </c>
    </row>
    <row r="25" spans="1:6" ht="12.75">
      <c r="A25" s="1">
        <v>17</v>
      </c>
      <c r="B25" s="1" t="s">
        <v>6</v>
      </c>
      <c r="C25" s="1" t="s">
        <v>24</v>
      </c>
      <c r="D25" s="1">
        <v>97507</v>
      </c>
      <c r="E25" s="1" t="s">
        <v>18</v>
      </c>
      <c r="F25" s="1" t="s">
        <v>7</v>
      </c>
    </row>
    <row r="26" spans="1:6" ht="12.75">
      <c r="A26" s="1">
        <v>18</v>
      </c>
      <c r="B26" s="1" t="s">
        <v>0</v>
      </c>
      <c r="C26" s="1" t="s">
        <v>13</v>
      </c>
      <c r="D26" s="1">
        <v>48047</v>
      </c>
      <c r="E26" s="1" t="s">
        <v>1</v>
      </c>
      <c r="F26" s="1" t="s">
        <v>2</v>
      </c>
    </row>
    <row r="27" spans="1:6" ht="12.75">
      <c r="A27" s="1">
        <v>19</v>
      </c>
      <c r="B27" s="1" t="s">
        <v>15</v>
      </c>
      <c r="C27" s="1" t="s">
        <v>24</v>
      </c>
      <c r="D27" s="1">
        <v>96772</v>
      </c>
      <c r="E27" s="1" t="s">
        <v>14</v>
      </c>
      <c r="F27" s="1" t="s">
        <v>16</v>
      </c>
    </row>
    <row r="28" spans="1:6" ht="12.75">
      <c r="A28" s="1">
        <v>20</v>
      </c>
      <c r="B28" s="1" t="s">
        <v>15</v>
      </c>
      <c r="C28" s="1" t="s">
        <v>24</v>
      </c>
      <c r="D28" s="1">
        <v>96772</v>
      </c>
      <c r="E28" s="1" t="s">
        <v>14</v>
      </c>
      <c r="F28" s="1" t="s">
        <v>16</v>
      </c>
    </row>
    <row r="29" spans="1:6" ht="12.75">
      <c r="A29" s="1">
        <v>21</v>
      </c>
      <c r="B29" s="1" t="s">
        <v>0</v>
      </c>
      <c r="C29" s="1" t="s">
        <v>24</v>
      </c>
      <c r="D29" s="1">
        <v>51186</v>
      </c>
      <c r="E29" s="1" t="s">
        <v>14</v>
      </c>
      <c r="F29" s="1" t="s">
        <v>2</v>
      </c>
    </row>
    <row r="30" spans="1:6" ht="12.75">
      <c r="A30" s="1">
        <v>22</v>
      </c>
      <c r="B30" s="1" t="s">
        <v>11</v>
      </c>
      <c r="C30" s="1" t="s">
        <v>13</v>
      </c>
      <c r="D30" s="1">
        <v>83127</v>
      </c>
      <c r="E30" s="1" t="s">
        <v>14</v>
      </c>
      <c r="F30" s="1" t="s">
        <v>12</v>
      </c>
    </row>
    <row r="31" spans="1:6" ht="12.75">
      <c r="A31" s="1">
        <v>23</v>
      </c>
      <c r="B31" s="1" t="s">
        <v>63</v>
      </c>
      <c r="C31" s="1" t="s">
        <v>59</v>
      </c>
      <c r="D31" s="1">
        <v>574535</v>
      </c>
      <c r="E31" s="1" t="s">
        <v>17</v>
      </c>
      <c r="F31" s="1" t="s">
        <v>12</v>
      </c>
    </row>
    <row r="32" spans="1:6" ht="12.75">
      <c r="A32" s="1">
        <v>24</v>
      </c>
      <c r="B32" s="1" t="s">
        <v>0</v>
      </c>
      <c r="C32" s="1" t="s">
        <v>5</v>
      </c>
      <c r="D32" s="1">
        <v>142576</v>
      </c>
      <c r="E32" s="1" t="s">
        <v>1</v>
      </c>
      <c r="F32" s="1" t="s">
        <v>2</v>
      </c>
    </row>
    <row r="33" spans="1:6" ht="12.75">
      <c r="A33" s="1">
        <v>25</v>
      </c>
      <c r="B33" s="1" t="s">
        <v>0</v>
      </c>
      <c r="C33" s="1" t="s">
        <v>5</v>
      </c>
      <c r="D33" s="1">
        <v>141312</v>
      </c>
      <c r="E33" s="1" t="s">
        <v>1</v>
      </c>
      <c r="F33" s="1" t="s">
        <v>2</v>
      </c>
    </row>
    <row r="34" spans="1:6" ht="12.75">
      <c r="A34" s="1">
        <v>26</v>
      </c>
      <c r="B34" s="1" t="s">
        <v>6</v>
      </c>
      <c r="C34" s="1" t="s">
        <v>24</v>
      </c>
      <c r="D34" s="1">
        <v>97507</v>
      </c>
      <c r="E34" s="1" t="s">
        <v>18</v>
      </c>
      <c r="F34" s="1" t="s">
        <v>7</v>
      </c>
    </row>
    <row r="35" spans="1:6" ht="12.75">
      <c r="A35" s="1">
        <v>27</v>
      </c>
      <c r="B35" s="1" t="s">
        <v>62</v>
      </c>
      <c r="C35" s="1" t="s">
        <v>61</v>
      </c>
      <c r="D35" s="1">
        <v>818</v>
      </c>
      <c r="E35" s="1" t="s">
        <v>8</v>
      </c>
      <c r="F35" s="1" t="s">
        <v>9</v>
      </c>
    </row>
    <row r="36" spans="1:6" ht="12.75">
      <c r="A36" s="1">
        <v>28</v>
      </c>
      <c r="B36" s="1" t="s">
        <v>6</v>
      </c>
      <c r="C36" s="1" t="s">
        <v>24</v>
      </c>
      <c r="D36" s="1">
        <v>100034</v>
      </c>
      <c r="E36" s="1" t="s">
        <v>10</v>
      </c>
      <c r="F36" s="1" t="s">
        <v>7</v>
      </c>
    </row>
    <row r="37" spans="1:6" ht="12.75">
      <c r="A37" s="1">
        <v>29</v>
      </c>
      <c r="B37" s="1" t="s">
        <v>6</v>
      </c>
      <c r="C37" s="1" t="s">
        <v>24</v>
      </c>
      <c r="D37" s="1">
        <v>98108</v>
      </c>
      <c r="E37" s="1" t="s">
        <v>10</v>
      </c>
      <c r="F37" s="1" t="s">
        <v>7</v>
      </c>
    </row>
    <row r="38" spans="1:6" ht="12.75">
      <c r="A38" s="1">
        <v>30</v>
      </c>
      <c r="B38" s="1" t="s">
        <v>0</v>
      </c>
      <c r="C38" s="1" t="s">
        <v>24</v>
      </c>
      <c r="D38" s="1">
        <v>51108</v>
      </c>
      <c r="E38" s="1" t="s">
        <v>1</v>
      </c>
      <c r="F38" s="1" t="s">
        <v>2</v>
      </c>
    </row>
    <row r="39" spans="1:6" ht="12.75">
      <c r="A39" s="1">
        <v>31</v>
      </c>
      <c r="B39" s="1" t="s">
        <v>62</v>
      </c>
      <c r="C39" s="1" t="s">
        <v>24</v>
      </c>
      <c r="D39" s="1">
        <v>9991</v>
      </c>
      <c r="E39" s="1" t="s">
        <v>8</v>
      </c>
      <c r="F39" s="1" t="s">
        <v>9</v>
      </c>
    </row>
    <row r="40" spans="1:6" ht="12.75">
      <c r="A40" s="1">
        <v>32</v>
      </c>
      <c r="B40" s="1" t="s">
        <v>62</v>
      </c>
      <c r="C40" s="1" t="s">
        <v>64</v>
      </c>
      <c r="D40" s="1">
        <v>55465</v>
      </c>
      <c r="E40" s="1" t="s">
        <v>8</v>
      </c>
      <c r="F40" s="1" t="s">
        <v>9</v>
      </c>
    </row>
    <row r="41" spans="1:6" ht="12.75">
      <c r="A41" s="1">
        <v>33</v>
      </c>
      <c r="B41" s="1" t="s">
        <v>3</v>
      </c>
      <c r="C41" s="1" t="s">
        <v>65</v>
      </c>
      <c r="D41" s="1">
        <v>7018</v>
      </c>
      <c r="E41" s="1" t="s">
        <v>23</v>
      </c>
      <c r="F41" s="1" t="s">
        <v>4</v>
      </c>
    </row>
    <row r="42" spans="1:6" ht="12.75">
      <c r="A42" s="1">
        <v>34</v>
      </c>
      <c r="B42" s="1" t="s">
        <v>6</v>
      </c>
      <c r="C42" s="1" t="s">
        <v>56</v>
      </c>
      <c r="D42" s="1">
        <v>84084</v>
      </c>
      <c r="E42" s="1" t="s">
        <v>18</v>
      </c>
      <c r="F42" s="1" t="s">
        <v>7</v>
      </c>
    </row>
    <row r="43" spans="1:6" ht="12.75">
      <c r="A43" s="1">
        <v>35</v>
      </c>
      <c r="B43" s="1" t="s">
        <v>11</v>
      </c>
      <c r="C43" s="1" t="s">
        <v>56</v>
      </c>
      <c r="D43" s="1">
        <v>61624</v>
      </c>
      <c r="E43" s="1" t="s">
        <v>1</v>
      </c>
      <c r="F43" s="1" t="s">
        <v>12</v>
      </c>
    </row>
    <row r="44" spans="1:6" ht="12.75">
      <c r="A44" s="1">
        <v>36</v>
      </c>
      <c r="B44" s="1" t="s">
        <v>0</v>
      </c>
      <c r="C44" s="1" t="s">
        <v>27</v>
      </c>
      <c r="D44" s="1">
        <v>262955</v>
      </c>
      <c r="E44" s="1" t="s">
        <v>1</v>
      </c>
      <c r="F44" s="1" t="s">
        <v>2</v>
      </c>
    </row>
    <row r="45" spans="1:6" ht="12.75">
      <c r="A45" s="1">
        <v>37</v>
      </c>
      <c r="B45" s="1" t="s">
        <v>3</v>
      </c>
      <c r="C45" s="1" t="s">
        <v>56</v>
      </c>
      <c r="D45" s="1">
        <v>191020</v>
      </c>
      <c r="E45" s="1" t="s">
        <v>17</v>
      </c>
      <c r="F45" s="1" t="s">
        <v>4</v>
      </c>
    </row>
    <row r="46" spans="1:6" ht="12.75">
      <c r="A46" s="1">
        <v>38</v>
      </c>
      <c r="B46" s="1" t="s">
        <v>0</v>
      </c>
      <c r="C46" s="1" t="s">
        <v>56</v>
      </c>
      <c r="D46" s="1">
        <v>42044</v>
      </c>
      <c r="E46" s="1" t="s">
        <v>1</v>
      </c>
      <c r="F46" s="1" t="s">
        <v>2</v>
      </c>
    </row>
    <row r="47" spans="1:6" ht="12.75">
      <c r="A47" s="1">
        <v>39</v>
      </c>
      <c r="B47" s="1" t="s">
        <v>6</v>
      </c>
      <c r="C47" s="1" t="s">
        <v>24</v>
      </c>
      <c r="D47" s="1">
        <v>100626</v>
      </c>
      <c r="E47" s="1" t="s">
        <v>18</v>
      </c>
      <c r="F47" s="1" t="s">
        <v>7</v>
      </c>
    </row>
    <row r="48" spans="1:6" ht="12.75">
      <c r="A48" s="1">
        <v>40</v>
      </c>
      <c r="B48" s="1" t="s">
        <v>6</v>
      </c>
      <c r="C48" s="1" t="s">
        <v>56</v>
      </c>
      <c r="D48" s="1">
        <v>79038</v>
      </c>
      <c r="E48" s="1" t="s">
        <v>18</v>
      </c>
      <c r="F48" s="1" t="s">
        <v>7</v>
      </c>
    </row>
    <row r="49" spans="1:6" ht="12.75">
      <c r="A49" s="1">
        <v>41</v>
      </c>
      <c r="B49" s="1" t="s">
        <v>0</v>
      </c>
      <c r="C49" s="1" t="s">
        <v>29</v>
      </c>
      <c r="D49" s="1">
        <v>177878</v>
      </c>
      <c r="E49" s="1" t="s">
        <v>26</v>
      </c>
      <c r="F49" s="1" t="s">
        <v>2</v>
      </c>
    </row>
    <row r="50" spans="1:6" ht="12.75">
      <c r="A50" s="1">
        <v>42</v>
      </c>
      <c r="B50" s="1" t="s">
        <v>0</v>
      </c>
      <c r="C50" s="1" t="s">
        <v>57</v>
      </c>
      <c r="D50" s="1">
        <v>20855</v>
      </c>
      <c r="E50" s="1" t="s">
        <v>1</v>
      </c>
      <c r="F50" s="1" t="s">
        <v>2</v>
      </c>
    </row>
    <row r="51" spans="1:6" ht="12.75">
      <c r="A51" s="1">
        <v>43</v>
      </c>
      <c r="B51" s="1" t="s">
        <v>0</v>
      </c>
      <c r="C51" s="1" t="s">
        <v>66</v>
      </c>
      <c r="D51" s="1">
        <v>46001</v>
      </c>
      <c r="E51" s="1" t="s">
        <v>10</v>
      </c>
      <c r="F51" s="1" t="s">
        <v>2</v>
      </c>
    </row>
    <row r="52" spans="1:6" ht="12.75">
      <c r="A52" s="1">
        <v>44</v>
      </c>
      <c r="B52" s="1" t="s">
        <v>6</v>
      </c>
      <c r="C52" s="1" t="s">
        <v>67</v>
      </c>
      <c r="D52" s="1">
        <v>716023</v>
      </c>
      <c r="E52" s="1" t="s">
        <v>18</v>
      </c>
      <c r="F52" s="1" t="s">
        <v>7</v>
      </c>
    </row>
    <row r="53" spans="1:6" ht="12.75">
      <c r="A53" s="1">
        <v>45</v>
      </c>
      <c r="B53" s="1" t="s">
        <v>0</v>
      </c>
      <c r="C53" s="1" t="s">
        <v>41</v>
      </c>
      <c r="D53" s="1">
        <v>508502</v>
      </c>
      <c r="E53" s="1" t="s">
        <v>1</v>
      </c>
      <c r="F53" s="1" t="s">
        <v>2</v>
      </c>
    </row>
    <row r="54" spans="1:6" ht="12.75">
      <c r="A54" s="1">
        <v>46</v>
      </c>
      <c r="B54" s="1" t="s">
        <v>0</v>
      </c>
      <c r="C54" s="1" t="s">
        <v>41</v>
      </c>
      <c r="D54" s="1">
        <v>161446</v>
      </c>
      <c r="E54" s="1" t="s">
        <v>14</v>
      </c>
      <c r="F54" s="1" t="s">
        <v>2</v>
      </c>
    </row>
    <row r="55" spans="1:6" ht="12.75">
      <c r="A55" s="1">
        <v>47</v>
      </c>
      <c r="B55" s="1" t="s">
        <v>15</v>
      </c>
      <c r="C55" s="1" t="s">
        <v>25</v>
      </c>
      <c r="D55" s="1">
        <v>12988</v>
      </c>
      <c r="E55" s="1" t="s">
        <v>17</v>
      </c>
      <c r="F55" s="1" t="s">
        <v>16</v>
      </c>
    </row>
    <row r="56" spans="1:6" ht="12.75">
      <c r="A56" s="1">
        <v>48</v>
      </c>
      <c r="B56" s="1" t="s">
        <v>0</v>
      </c>
      <c r="C56" s="1" t="s">
        <v>30</v>
      </c>
      <c r="D56" s="1">
        <v>64970</v>
      </c>
      <c r="E56" s="1" t="s">
        <v>1</v>
      </c>
      <c r="F56" s="1" t="s">
        <v>2</v>
      </c>
    </row>
    <row r="57" spans="1:6" ht="12.75">
      <c r="A57" s="1">
        <v>49</v>
      </c>
      <c r="B57" s="1" t="s">
        <v>0</v>
      </c>
      <c r="C57" s="1" t="s">
        <v>41</v>
      </c>
      <c r="D57" s="1">
        <v>300620</v>
      </c>
      <c r="E57" s="1" t="s">
        <v>10</v>
      </c>
      <c r="F57" s="1" t="s">
        <v>2</v>
      </c>
    </row>
    <row r="58" spans="1:6" ht="12.75">
      <c r="A58" s="1">
        <v>50</v>
      </c>
      <c r="B58" s="1" t="s">
        <v>0</v>
      </c>
      <c r="C58" s="1" t="s">
        <v>41</v>
      </c>
      <c r="D58" s="1">
        <v>499030</v>
      </c>
      <c r="E58" s="1" t="s">
        <v>8</v>
      </c>
      <c r="F58" s="1" t="s">
        <v>2</v>
      </c>
    </row>
    <row r="59" spans="1:6" ht="12.75">
      <c r="A59" s="1">
        <v>51</v>
      </c>
      <c r="B59" s="1" t="s">
        <v>0</v>
      </c>
      <c r="C59" s="1" t="s">
        <v>41</v>
      </c>
      <c r="D59" s="1">
        <v>499099</v>
      </c>
      <c r="E59" s="1" t="s">
        <v>8</v>
      </c>
      <c r="F59" s="1" t="s">
        <v>2</v>
      </c>
    </row>
    <row r="60" spans="1:6" ht="12.75">
      <c r="A60" s="1">
        <v>52</v>
      </c>
      <c r="B60" s="1" t="s">
        <v>6</v>
      </c>
      <c r="C60" s="1" t="s">
        <v>41</v>
      </c>
      <c r="D60" s="1">
        <v>81272</v>
      </c>
      <c r="E60" s="1" t="s">
        <v>18</v>
      </c>
      <c r="F60" s="1" t="s">
        <v>7</v>
      </c>
    </row>
    <row r="61" spans="1:6" ht="12.75">
      <c r="A61" s="1">
        <v>53</v>
      </c>
      <c r="B61" s="1" t="s">
        <v>62</v>
      </c>
      <c r="C61" s="1" t="s">
        <v>28</v>
      </c>
      <c r="D61" s="1">
        <v>14187</v>
      </c>
      <c r="E61" s="1" t="s">
        <v>8</v>
      </c>
      <c r="F61" s="1" t="s">
        <v>9</v>
      </c>
    </row>
    <row r="62" spans="1:6" ht="12.75">
      <c r="A62" s="1">
        <v>54</v>
      </c>
      <c r="B62" s="1" t="s">
        <v>3</v>
      </c>
      <c r="C62" s="1" t="s">
        <v>50</v>
      </c>
      <c r="D62" s="1">
        <v>10045</v>
      </c>
      <c r="E62" s="1" t="s">
        <v>17</v>
      </c>
      <c r="F62" s="1" t="s">
        <v>4</v>
      </c>
    </row>
    <row r="63" spans="1:6" ht="12.75">
      <c r="A63" s="1">
        <v>55</v>
      </c>
      <c r="B63" s="1" t="s">
        <v>62</v>
      </c>
      <c r="C63" s="1" t="s">
        <v>91</v>
      </c>
      <c r="D63" s="1">
        <v>71924</v>
      </c>
      <c r="E63" s="1" t="s">
        <v>10</v>
      </c>
      <c r="F63" s="1" t="s">
        <v>9</v>
      </c>
    </row>
    <row r="64" spans="1:6" ht="12.75">
      <c r="A64" s="1">
        <v>56</v>
      </c>
      <c r="B64" s="1" t="s">
        <v>0</v>
      </c>
      <c r="C64" s="1" t="s">
        <v>24</v>
      </c>
      <c r="D64" s="1">
        <v>56538</v>
      </c>
      <c r="E64" s="1" t="s">
        <v>10</v>
      </c>
      <c r="F64" s="1" t="s">
        <v>2</v>
      </c>
    </row>
    <row r="65" spans="1:6" ht="12.75">
      <c r="A65" s="1">
        <v>57</v>
      </c>
      <c r="B65" s="1" t="s">
        <v>3</v>
      </c>
      <c r="C65" s="1" t="s">
        <v>92</v>
      </c>
      <c r="D65" s="1">
        <v>2068</v>
      </c>
      <c r="E65" s="1" t="s">
        <v>17</v>
      </c>
      <c r="F65" s="1" t="s">
        <v>4</v>
      </c>
    </row>
    <row r="66" spans="1:6" ht="12.75">
      <c r="A66" s="1">
        <v>58</v>
      </c>
      <c r="B66" s="1" t="s">
        <v>0</v>
      </c>
      <c r="C66" s="1" t="s">
        <v>59</v>
      </c>
      <c r="D66" s="1">
        <v>107295</v>
      </c>
      <c r="E66" s="1" t="s">
        <v>20</v>
      </c>
      <c r="F66" s="1" t="s">
        <v>2</v>
      </c>
    </row>
    <row r="67" spans="1:6" ht="12.75">
      <c r="A67" s="1">
        <v>59</v>
      </c>
      <c r="B67" s="1" t="s">
        <v>3</v>
      </c>
      <c r="C67" s="1" t="s">
        <v>50</v>
      </c>
      <c r="D67" s="1">
        <v>43</v>
      </c>
      <c r="E67" s="1" t="s">
        <v>17</v>
      </c>
      <c r="F67" s="1" t="s">
        <v>4</v>
      </c>
    </row>
    <row r="68" spans="1:6" ht="12.75">
      <c r="A68" s="1">
        <v>60</v>
      </c>
      <c r="B68" s="1" t="s">
        <v>6</v>
      </c>
      <c r="C68" s="1" t="s">
        <v>59</v>
      </c>
      <c r="D68" s="1">
        <v>450876</v>
      </c>
      <c r="E68" s="1" t="s">
        <v>20</v>
      </c>
      <c r="F68" s="1" t="s">
        <v>7</v>
      </c>
    </row>
    <row r="69" spans="1:6" ht="12.75">
      <c r="A69" s="1">
        <v>61</v>
      </c>
      <c r="B69" s="1" t="s">
        <v>6</v>
      </c>
      <c r="C69" s="1" t="s">
        <v>5</v>
      </c>
      <c r="D69" s="1">
        <v>307733</v>
      </c>
      <c r="E69" s="1" t="s">
        <v>1</v>
      </c>
      <c r="F69" s="1" t="s">
        <v>7</v>
      </c>
    </row>
    <row r="70" spans="1:6" ht="12.75">
      <c r="A70" s="1">
        <v>62</v>
      </c>
      <c r="B70" s="1" t="s">
        <v>0</v>
      </c>
      <c r="C70" s="1" t="s">
        <v>5</v>
      </c>
      <c r="D70" s="1">
        <v>142244</v>
      </c>
      <c r="E70" s="1" t="s">
        <v>1</v>
      </c>
      <c r="F70" s="1" t="s">
        <v>2</v>
      </c>
    </row>
    <row r="71" spans="1:6" ht="12.75">
      <c r="A71" s="1">
        <v>63</v>
      </c>
      <c r="B71" s="1" t="s">
        <v>3</v>
      </c>
      <c r="C71" s="1" t="s">
        <v>93</v>
      </c>
      <c r="D71" s="1">
        <v>237103</v>
      </c>
      <c r="E71" s="1" t="s">
        <v>17</v>
      </c>
      <c r="F71" s="1" t="s">
        <v>4</v>
      </c>
    </row>
    <row r="72" spans="1:6" ht="12.75">
      <c r="A72" s="1">
        <v>64</v>
      </c>
      <c r="B72" s="1" t="s">
        <v>3</v>
      </c>
      <c r="C72" s="1" t="s">
        <v>94</v>
      </c>
      <c r="D72" s="1">
        <v>84016</v>
      </c>
      <c r="E72" s="1" t="s">
        <v>26</v>
      </c>
      <c r="F72" s="1" t="s">
        <v>4</v>
      </c>
    </row>
    <row r="73" spans="1:6" ht="12.75">
      <c r="A73" s="1">
        <v>65</v>
      </c>
      <c r="B73" s="1" t="s">
        <v>3</v>
      </c>
      <c r="C73" s="1" t="s">
        <v>95</v>
      </c>
      <c r="D73" s="1">
        <v>14230</v>
      </c>
      <c r="E73" s="1" t="s">
        <v>17</v>
      </c>
      <c r="F73" s="1" t="s">
        <v>4</v>
      </c>
    </row>
    <row r="74" spans="1:6" ht="12.75">
      <c r="A74" s="1">
        <v>66</v>
      </c>
      <c r="B74" s="1" t="s">
        <v>6</v>
      </c>
      <c r="C74" s="1" t="s">
        <v>24</v>
      </c>
      <c r="D74" s="1">
        <v>97637</v>
      </c>
      <c r="E74" s="1" t="s">
        <v>10</v>
      </c>
      <c r="F74" s="1" t="s">
        <v>7</v>
      </c>
    </row>
    <row r="75" spans="1:6" ht="12.75">
      <c r="A75" s="1">
        <v>67</v>
      </c>
      <c r="B75" s="1" t="s">
        <v>6</v>
      </c>
      <c r="C75" s="1" t="s">
        <v>24</v>
      </c>
      <c r="D75" s="1">
        <v>97550</v>
      </c>
      <c r="E75" s="1" t="s">
        <v>10</v>
      </c>
      <c r="F75" s="1" t="s">
        <v>7</v>
      </c>
    </row>
    <row r="76" spans="1:6" ht="12.75">
      <c r="A76" s="1">
        <v>68</v>
      </c>
      <c r="B76" s="1" t="s">
        <v>0</v>
      </c>
      <c r="C76" s="1" t="s">
        <v>5</v>
      </c>
      <c r="D76" s="1">
        <v>520979</v>
      </c>
      <c r="E76" s="1" t="s">
        <v>14</v>
      </c>
      <c r="F76" s="1" t="s">
        <v>2</v>
      </c>
    </row>
    <row r="77" spans="1:6" ht="12.75">
      <c r="A77" s="1">
        <v>69</v>
      </c>
      <c r="B77" s="1" t="s">
        <v>0</v>
      </c>
      <c r="C77" s="1" t="s">
        <v>27</v>
      </c>
      <c r="D77" s="1">
        <v>36102</v>
      </c>
      <c r="E77" s="1" t="s">
        <v>14</v>
      </c>
      <c r="F77" s="1" t="s">
        <v>2</v>
      </c>
    </row>
    <row r="78" spans="1:6" ht="12.75">
      <c r="A78" s="1">
        <v>70</v>
      </c>
      <c r="B78" s="1" t="s">
        <v>3</v>
      </c>
      <c r="C78" s="1" t="s">
        <v>96</v>
      </c>
      <c r="D78" s="1">
        <v>2843</v>
      </c>
      <c r="E78" s="1" t="s">
        <v>17</v>
      </c>
      <c r="F78" s="1" t="s">
        <v>4</v>
      </c>
    </row>
    <row r="79" spans="1:6" ht="12.75">
      <c r="A79" s="1">
        <v>71</v>
      </c>
      <c r="B79" s="1" t="s">
        <v>0</v>
      </c>
      <c r="C79" s="1" t="s">
        <v>97</v>
      </c>
      <c r="D79" s="1">
        <v>33677</v>
      </c>
      <c r="E79" s="1" t="s">
        <v>10</v>
      </c>
      <c r="F79" s="1" t="s">
        <v>2</v>
      </c>
    </row>
    <row r="80" spans="1:6" ht="12.75">
      <c r="A80" s="1">
        <v>72</v>
      </c>
      <c r="B80" s="1" t="s">
        <v>6</v>
      </c>
      <c r="C80" s="1" t="s">
        <v>56</v>
      </c>
      <c r="D80" s="1">
        <v>79061</v>
      </c>
      <c r="E80" s="1" t="s">
        <v>18</v>
      </c>
      <c r="F80" s="1" t="s">
        <v>7</v>
      </c>
    </row>
    <row r="81" spans="1:6" ht="12.75">
      <c r="A81" s="1">
        <v>73</v>
      </c>
      <c r="B81" s="1" t="s">
        <v>62</v>
      </c>
      <c r="C81" s="1" t="s">
        <v>125</v>
      </c>
      <c r="D81" s="1">
        <v>9345</v>
      </c>
      <c r="E81" s="1" t="s">
        <v>10</v>
      </c>
      <c r="F81" s="1" t="s">
        <v>9</v>
      </c>
    </row>
    <row r="82" spans="1:6" ht="12.75">
      <c r="A82" s="1">
        <v>74</v>
      </c>
      <c r="B82" s="1" t="s">
        <v>62</v>
      </c>
      <c r="C82" s="1" t="s">
        <v>126</v>
      </c>
      <c r="D82" s="1">
        <v>13092</v>
      </c>
      <c r="E82" s="1" t="s">
        <v>26</v>
      </c>
      <c r="F82" s="1" t="s">
        <v>9</v>
      </c>
    </row>
    <row r="83" spans="1:6" ht="12.75">
      <c r="A83" s="1">
        <v>75</v>
      </c>
      <c r="B83" s="1" t="s">
        <v>127</v>
      </c>
      <c r="C83" s="1" t="s">
        <v>59</v>
      </c>
      <c r="D83" s="1">
        <v>12203</v>
      </c>
      <c r="E83" s="1" t="s">
        <v>20</v>
      </c>
      <c r="F83" s="1" t="s">
        <v>128</v>
      </c>
    </row>
    <row r="84" spans="1:6" ht="12.75">
      <c r="A84" s="1">
        <v>76</v>
      </c>
      <c r="B84" s="1" t="s">
        <v>127</v>
      </c>
      <c r="C84" s="1" t="s">
        <v>56</v>
      </c>
      <c r="D84" s="1">
        <v>252</v>
      </c>
      <c r="E84" s="1" t="s">
        <v>1</v>
      </c>
      <c r="F84" s="1" t="s">
        <v>128</v>
      </c>
    </row>
    <row r="85" spans="1:6" ht="12.75">
      <c r="A85" s="1">
        <v>77</v>
      </c>
      <c r="B85" s="1" t="s">
        <v>127</v>
      </c>
      <c r="C85" s="1" t="s">
        <v>5</v>
      </c>
      <c r="D85" s="1">
        <v>999026</v>
      </c>
      <c r="E85" s="1" t="s">
        <v>14</v>
      </c>
      <c r="F85" s="1" t="s">
        <v>128</v>
      </c>
    </row>
    <row r="86" spans="1:6" ht="12.75">
      <c r="A86" s="1">
        <v>78</v>
      </c>
      <c r="B86" s="1" t="s">
        <v>127</v>
      </c>
      <c r="C86" s="1" t="s">
        <v>24</v>
      </c>
      <c r="D86" s="27" t="s">
        <v>129</v>
      </c>
      <c r="E86" s="1" t="s">
        <v>8</v>
      </c>
      <c r="F86" s="1" t="s">
        <v>128</v>
      </c>
    </row>
    <row r="87" spans="1:6" ht="12.75">
      <c r="A87" s="1">
        <v>79</v>
      </c>
      <c r="B87" s="1" t="s">
        <v>127</v>
      </c>
      <c r="C87" s="1" t="s">
        <v>57</v>
      </c>
      <c r="D87" s="1">
        <v>343</v>
      </c>
      <c r="E87" s="1" t="s">
        <v>23</v>
      </c>
      <c r="F87" s="1" t="s">
        <v>128</v>
      </c>
    </row>
    <row r="88" spans="1:6" ht="12.75">
      <c r="A88" s="1">
        <v>80</v>
      </c>
      <c r="B88" s="1" t="s">
        <v>127</v>
      </c>
      <c r="C88" s="1" t="s">
        <v>24</v>
      </c>
      <c r="D88" s="1">
        <v>999226</v>
      </c>
      <c r="E88" s="1" t="s">
        <v>8</v>
      </c>
      <c r="F88" s="1" t="s">
        <v>128</v>
      </c>
    </row>
    <row r="89" spans="1:6" ht="12.75">
      <c r="A89" s="1">
        <v>81</v>
      </c>
      <c r="B89" s="1" t="s">
        <v>127</v>
      </c>
      <c r="C89" s="1" t="s">
        <v>24</v>
      </c>
      <c r="D89" s="1">
        <v>992103</v>
      </c>
      <c r="E89" s="1" t="s">
        <v>8</v>
      </c>
      <c r="F89" s="1" t="s">
        <v>128</v>
      </c>
    </row>
    <row r="90" spans="1:6" ht="12.75">
      <c r="A90" s="1">
        <v>82</v>
      </c>
      <c r="B90" s="1" t="s">
        <v>0</v>
      </c>
      <c r="C90" s="1" t="s">
        <v>59</v>
      </c>
      <c r="D90" s="1">
        <v>223493</v>
      </c>
      <c r="E90" s="1" t="s">
        <v>20</v>
      </c>
      <c r="F90" s="1" t="s">
        <v>2</v>
      </c>
    </row>
    <row r="91" spans="1:6" ht="12.75">
      <c r="A91" s="1">
        <v>83</v>
      </c>
      <c r="B91" s="1" t="s">
        <v>0</v>
      </c>
      <c r="C91" s="1" t="s">
        <v>24</v>
      </c>
      <c r="D91" s="1">
        <v>50791</v>
      </c>
      <c r="E91" s="1" t="s">
        <v>1</v>
      </c>
      <c r="F91" s="1" t="s">
        <v>2</v>
      </c>
    </row>
    <row r="92" spans="1:6" ht="12.75">
      <c r="A92" s="1">
        <v>84</v>
      </c>
      <c r="B92" s="1" t="s">
        <v>0</v>
      </c>
      <c r="C92" s="1" t="s">
        <v>57</v>
      </c>
      <c r="D92" s="1">
        <v>160211</v>
      </c>
      <c r="E92" s="1" t="s">
        <v>1</v>
      </c>
      <c r="F92" s="1" t="s">
        <v>2</v>
      </c>
    </row>
    <row r="93" spans="1:6" ht="12.75">
      <c r="A93" s="1">
        <v>85</v>
      </c>
      <c r="B93" s="1" t="s">
        <v>6</v>
      </c>
      <c r="C93" s="1" t="s">
        <v>59</v>
      </c>
      <c r="D93" s="1">
        <v>424765</v>
      </c>
      <c r="E93" s="1" t="s">
        <v>18</v>
      </c>
      <c r="F93" s="1" t="s">
        <v>7</v>
      </c>
    </row>
    <row r="94" spans="1:6" ht="12.75">
      <c r="A94" s="1">
        <v>86</v>
      </c>
      <c r="B94" s="1" t="s">
        <v>6</v>
      </c>
      <c r="C94" s="1" t="s">
        <v>24</v>
      </c>
      <c r="D94" s="1">
        <v>98819</v>
      </c>
      <c r="E94" s="1" t="s">
        <v>18</v>
      </c>
      <c r="F94" s="1" t="s">
        <v>7</v>
      </c>
    </row>
    <row r="95" spans="1:6" ht="12.75">
      <c r="A95" s="1">
        <v>87</v>
      </c>
      <c r="B95" s="1" t="s">
        <v>0</v>
      </c>
      <c r="C95" s="1" t="s">
        <v>57</v>
      </c>
      <c r="D95" s="1">
        <v>160059</v>
      </c>
      <c r="E95" s="1" t="s">
        <v>1</v>
      </c>
      <c r="F95" s="1" t="s">
        <v>2</v>
      </c>
    </row>
    <row r="96" spans="1:6" ht="12.75">
      <c r="A96" s="1">
        <v>88</v>
      </c>
      <c r="B96" s="1" t="s">
        <v>0</v>
      </c>
      <c r="C96" s="1" t="s">
        <v>24</v>
      </c>
      <c r="D96" s="1">
        <v>51108</v>
      </c>
      <c r="E96" s="1" t="s">
        <v>1</v>
      </c>
      <c r="F96" s="1" t="s">
        <v>2</v>
      </c>
    </row>
    <row r="97" spans="1:6" ht="12.75">
      <c r="A97" s="1">
        <v>89</v>
      </c>
      <c r="B97" s="1" t="s">
        <v>0</v>
      </c>
      <c r="C97" s="1" t="s">
        <v>24</v>
      </c>
      <c r="D97" s="1">
        <v>7099</v>
      </c>
      <c r="E97" s="1" t="s">
        <v>1</v>
      </c>
      <c r="F97" s="1" t="s">
        <v>2</v>
      </c>
    </row>
    <row r="98" spans="1:6" ht="12.75">
      <c r="A98" s="1">
        <v>90</v>
      </c>
      <c r="B98" s="1" t="s">
        <v>170</v>
      </c>
      <c r="C98" s="1" t="s">
        <v>24</v>
      </c>
      <c r="D98" s="1">
        <v>67218</v>
      </c>
      <c r="E98" s="1" t="s">
        <v>1</v>
      </c>
      <c r="F98" s="1" t="s">
        <v>171</v>
      </c>
    </row>
    <row r="99" spans="1:6" ht="12.75">
      <c r="A99" s="1">
        <v>91</v>
      </c>
      <c r="B99" s="1" t="s">
        <v>170</v>
      </c>
      <c r="C99" s="1" t="s">
        <v>5</v>
      </c>
      <c r="D99" s="1">
        <v>93589</v>
      </c>
      <c r="E99" s="1" t="s">
        <v>14</v>
      </c>
      <c r="F99" s="1" t="s">
        <v>171</v>
      </c>
    </row>
    <row r="100" spans="1:6" ht="12.75">
      <c r="A100" s="1">
        <v>92</v>
      </c>
      <c r="B100" s="1" t="s">
        <v>170</v>
      </c>
      <c r="C100" s="1" t="s">
        <v>5</v>
      </c>
      <c r="D100" s="1">
        <v>93583</v>
      </c>
      <c r="E100" s="1" t="s">
        <v>14</v>
      </c>
      <c r="F100" s="1" t="s">
        <v>171</v>
      </c>
    </row>
    <row r="101" spans="1:6" ht="12.75">
      <c r="A101" s="1">
        <v>93</v>
      </c>
      <c r="B101" s="1" t="s">
        <v>170</v>
      </c>
      <c r="C101" s="1" t="s">
        <v>57</v>
      </c>
      <c r="D101" s="1">
        <v>602123</v>
      </c>
      <c r="E101" s="1" t="s">
        <v>1</v>
      </c>
      <c r="F101" s="1" t="s">
        <v>171</v>
      </c>
    </row>
    <row r="102" spans="1:6" ht="12.75">
      <c r="A102" s="1">
        <v>94</v>
      </c>
      <c r="B102" s="1" t="s">
        <v>170</v>
      </c>
      <c r="C102" s="1" t="s">
        <v>172</v>
      </c>
      <c r="D102" s="1">
        <v>317278</v>
      </c>
      <c r="E102" s="1" t="s">
        <v>1</v>
      </c>
      <c r="F102" s="1" t="s">
        <v>171</v>
      </c>
    </row>
    <row r="103" spans="1:6" ht="12.75">
      <c r="A103" s="1">
        <v>95</v>
      </c>
      <c r="B103" s="1" t="s">
        <v>170</v>
      </c>
      <c r="C103" s="1" t="s">
        <v>173</v>
      </c>
      <c r="D103" s="1">
        <v>88168</v>
      </c>
      <c r="E103" s="1" t="s">
        <v>1</v>
      </c>
      <c r="F103" s="1" t="s">
        <v>171</v>
      </c>
    </row>
    <row r="104" spans="1:6" ht="12.75">
      <c r="A104" s="1">
        <v>96</v>
      </c>
      <c r="B104" s="1" t="s">
        <v>21</v>
      </c>
      <c r="C104" s="1" t="s">
        <v>67</v>
      </c>
      <c r="D104" s="1">
        <v>728013</v>
      </c>
      <c r="E104" s="1" t="s">
        <v>1</v>
      </c>
      <c r="F104" s="1" t="s">
        <v>174</v>
      </c>
    </row>
    <row r="105" spans="1:6" ht="12.75">
      <c r="A105" s="1">
        <v>97</v>
      </c>
      <c r="B105" s="1" t="s">
        <v>11</v>
      </c>
      <c r="C105" s="1" t="s">
        <v>67</v>
      </c>
      <c r="D105" s="1">
        <v>697009</v>
      </c>
      <c r="E105" s="1" t="s">
        <v>1</v>
      </c>
      <c r="F105" s="1" t="s">
        <v>12</v>
      </c>
    </row>
    <row r="106" spans="1:6" ht="12.75">
      <c r="A106" s="1">
        <v>98</v>
      </c>
      <c r="B106" s="1" t="s">
        <v>6</v>
      </c>
      <c r="C106" s="1" t="s">
        <v>24</v>
      </c>
      <c r="D106" s="1">
        <v>100008</v>
      </c>
      <c r="E106" s="1" t="s">
        <v>10</v>
      </c>
      <c r="F106" s="1" t="s">
        <v>7</v>
      </c>
    </row>
    <row r="107" spans="1:6" ht="12.75">
      <c r="A107" s="1">
        <v>99</v>
      </c>
      <c r="B107" s="1" t="s">
        <v>6</v>
      </c>
      <c r="C107" s="1" t="s">
        <v>181</v>
      </c>
      <c r="D107" s="1">
        <v>7295</v>
      </c>
      <c r="E107" s="1" t="s">
        <v>10</v>
      </c>
      <c r="F107" s="1" t="s">
        <v>7</v>
      </c>
    </row>
    <row r="108" spans="1:6" ht="12.75">
      <c r="A108" s="1">
        <v>100</v>
      </c>
      <c r="B108" s="1" t="s">
        <v>0</v>
      </c>
      <c r="C108" s="1" t="s">
        <v>97</v>
      </c>
      <c r="D108" s="1">
        <v>33600</v>
      </c>
      <c r="E108" s="1" t="s">
        <v>10</v>
      </c>
      <c r="F108" s="1" t="s">
        <v>2</v>
      </c>
    </row>
    <row r="109" spans="1:6" ht="12.75">
      <c r="A109" s="1">
        <v>101</v>
      </c>
      <c r="B109" s="1" t="s">
        <v>6</v>
      </c>
      <c r="C109" s="1" t="s">
        <v>181</v>
      </c>
      <c r="D109" s="1">
        <v>7278</v>
      </c>
      <c r="E109" s="1" t="s">
        <v>10</v>
      </c>
      <c r="F109" s="1" t="s">
        <v>7</v>
      </c>
    </row>
    <row r="110" spans="1:6" ht="12.75">
      <c r="A110" s="1">
        <v>102</v>
      </c>
      <c r="B110" s="1" t="s">
        <v>0</v>
      </c>
      <c r="C110" s="1" t="s">
        <v>27</v>
      </c>
      <c r="D110" s="1">
        <v>36102</v>
      </c>
      <c r="E110" s="1" t="s">
        <v>1</v>
      </c>
      <c r="F110" s="1" t="s">
        <v>2</v>
      </c>
    </row>
    <row r="111" spans="1:6" ht="12.75">
      <c r="A111" s="1">
        <v>103</v>
      </c>
      <c r="B111" s="1" t="s">
        <v>6</v>
      </c>
      <c r="C111" s="1" t="s">
        <v>56</v>
      </c>
      <c r="D111" s="1">
        <v>79038</v>
      </c>
      <c r="E111" s="1" t="s">
        <v>18</v>
      </c>
      <c r="F111" s="1" t="s">
        <v>7</v>
      </c>
    </row>
    <row r="112" spans="1:6" ht="12.75">
      <c r="A112" s="1">
        <v>104</v>
      </c>
      <c r="B112" s="1" t="s">
        <v>0</v>
      </c>
      <c r="C112" s="1" t="s">
        <v>66</v>
      </c>
      <c r="D112" s="1">
        <v>2025</v>
      </c>
      <c r="E112" s="1" t="s">
        <v>14</v>
      </c>
      <c r="F112" s="1" t="s">
        <v>2</v>
      </c>
    </row>
    <row r="113" spans="1:6" ht="12.75">
      <c r="A113" s="1">
        <v>105</v>
      </c>
      <c r="B113" s="1" t="s">
        <v>0</v>
      </c>
      <c r="C113" s="1" t="s">
        <v>182</v>
      </c>
      <c r="D113" s="1">
        <v>50504</v>
      </c>
      <c r="E113" s="1" t="s">
        <v>10</v>
      </c>
      <c r="F113" s="1" t="s">
        <v>2</v>
      </c>
    </row>
    <row r="114" spans="1:6" ht="12.75">
      <c r="A114" s="1">
        <v>106</v>
      </c>
      <c r="B114" s="1" t="s">
        <v>6</v>
      </c>
      <c r="C114" s="1" t="s">
        <v>59</v>
      </c>
      <c r="D114" s="1">
        <v>459284</v>
      </c>
      <c r="E114" s="1" t="s">
        <v>20</v>
      </c>
      <c r="F114" s="1" t="s">
        <v>7</v>
      </c>
    </row>
    <row r="115" spans="1:6" ht="12.75">
      <c r="A115" s="1">
        <v>107</v>
      </c>
      <c r="B115" s="1" t="s">
        <v>0</v>
      </c>
      <c r="C115" s="1" t="s">
        <v>59</v>
      </c>
      <c r="D115" s="1">
        <v>223493</v>
      </c>
      <c r="E115" s="1" t="s">
        <v>20</v>
      </c>
      <c r="F115" s="1" t="s">
        <v>2</v>
      </c>
    </row>
    <row r="116" spans="1:6" ht="12.75">
      <c r="A116" s="1">
        <v>108</v>
      </c>
      <c r="B116" s="1"/>
      <c r="C116" s="1"/>
      <c r="D116" s="1"/>
      <c r="E116" s="1"/>
      <c r="F116" s="1"/>
    </row>
    <row r="117" spans="1:6" ht="12.75">
      <c r="A117" s="1">
        <v>109</v>
      </c>
      <c r="B117" s="1"/>
      <c r="C117" s="1"/>
      <c r="D117" s="1"/>
      <c r="E117" s="1"/>
      <c r="F117" s="1"/>
    </row>
    <row r="118" spans="1:6" ht="12.75">
      <c r="A118" s="1">
        <v>110</v>
      </c>
      <c r="B118" s="1"/>
      <c r="C118" s="1"/>
      <c r="D118" s="1"/>
      <c r="E118" s="1"/>
      <c r="F118" s="1"/>
    </row>
    <row r="119" spans="1:6" ht="12.75">
      <c r="A119" s="1">
        <v>111</v>
      </c>
      <c r="B119" s="1"/>
      <c r="C119" s="1"/>
      <c r="D119" s="1"/>
      <c r="E119" s="1"/>
      <c r="F119" s="1"/>
    </row>
    <row r="120" spans="1:6" ht="12.75">
      <c r="A120" s="1">
        <v>112</v>
      </c>
      <c r="B120" s="1"/>
      <c r="C120" s="1"/>
      <c r="D120" s="1"/>
      <c r="E120" s="1"/>
      <c r="F120" s="1"/>
    </row>
    <row r="121" spans="1:6" ht="12.75">
      <c r="A121" s="1">
        <v>113</v>
      </c>
      <c r="B121" s="1"/>
      <c r="C121" s="1"/>
      <c r="D121" s="1"/>
      <c r="E121" s="1"/>
      <c r="F121" s="1"/>
    </row>
    <row r="122" spans="1:6" ht="12.75">
      <c r="A122" s="1">
        <v>114</v>
      </c>
      <c r="B122" s="1"/>
      <c r="C122" s="1"/>
      <c r="D122" s="1"/>
      <c r="E122" s="1"/>
      <c r="F122" s="1"/>
    </row>
    <row r="123" spans="1:6" ht="12.75">
      <c r="A123" s="1">
        <v>115</v>
      </c>
      <c r="B123" s="1"/>
      <c r="C123" s="1"/>
      <c r="D123" s="1"/>
      <c r="E123" s="1"/>
      <c r="F123" s="1"/>
    </row>
    <row r="124" spans="1:6" ht="12.75">
      <c r="A124" s="1">
        <v>116</v>
      </c>
      <c r="B124" s="1"/>
      <c r="C124" s="1"/>
      <c r="D124" s="1"/>
      <c r="E124" s="1"/>
      <c r="F124" s="1"/>
    </row>
    <row r="125" spans="1:6" ht="12.75">
      <c r="A125" s="1">
        <v>117</v>
      </c>
      <c r="B125" s="1"/>
      <c r="C125" s="1"/>
      <c r="D125" s="1"/>
      <c r="E125" s="1"/>
      <c r="F125" s="1"/>
    </row>
    <row r="126" spans="1:6" ht="12.75">
      <c r="A126" s="1">
        <v>118</v>
      </c>
      <c r="B126" s="1"/>
      <c r="C126" s="1"/>
      <c r="D126" s="1"/>
      <c r="E126" s="1"/>
      <c r="F126" s="1"/>
    </row>
    <row r="127" spans="1:6" ht="12.75">
      <c r="A127" s="1">
        <v>119</v>
      </c>
      <c r="B127" s="1"/>
      <c r="C127" s="1"/>
      <c r="D127" s="1"/>
      <c r="E127" s="1"/>
      <c r="F127" s="1"/>
    </row>
    <row r="128" spans="1:6" ht="12.75">
      <c r="A128" s="1">
        <v>120</v>
      </c>
      <c r="B128" s="1"/>
      <c r="C128" s="1"/>
      <c r="D128" s="1"/>
      <c r="E128" s="1"/>
      <c r="F128" s="1"/>
    </row>
    <row r="129" spans="1:6" ht="12.75">
      <c r="A129" s="1">
        <v>121</v>
      </c>
      <c r="B129" s="1"/>
      <c r="C129" s="1"/>
      <c r="D129" s="1"/>
      <c r="E129" s="1"/>
      <c r="F129" s="1"/>
    </row>
    <row r="130" spans="1:6" ht="12.75">
      <c r="A130" s="1">
        <v>122</v>
      </c>
      <c r="B130" s="1"/>
      <c r="C130" s="1"/>
      <c r="D130" s="1"/>
      <c r="E130" s="1"/>
      <c r="F130" s="1"/>
    </row>
    <row r="131" spans="1:6" ht="12.75">
      <c r="A131" s="1">
        <v>123</v>
      </c>
      <c r="B131" s="1"/>
      <c r="C131" s="1"/>
      <c r="D131" s="1"/>
      <c r="E131" s="1"/>
      <c r="F131" s="1"/>
    </row>
    <row r="132" spans="1:6" ht="12.75">
      <c r="A132" s="1">
        <v>124</v>
      </c>
      <c r="B132" s="1"/>
      <c r="C132" s="1"/>
      <c r="D132" s="1"/>
      <c r="E132" s="1"/>
      <c r="F132" s="1"/>
    </row>
    <row r="133" spans="1:6" ht="12.75">
      <c r="A133" s="1">
        <v>125</v>
      </c>
      <c r="B133" s="1"/>
      <c r="C133" s="1"/>
      <c r="D133" s="1"/>
      <c r="E133" s="1"/>
      <c r="F133" s="1"/>
    </row>
    <row r="134" spans="1:6" ht="12.75">
      <c r="A134" s="1">
        <v>126</v>
      </c>
      <c r="B134" s="1"/>
      <c r="C134" s="1"/>
      <c r="D134" s="1"/>
      <c r="E134" s="1"/>
      <c r="F134" s="1"/>
    </row>
    <row r="135" spans="1:6" ht="12.75">
      <c r="A135" s="1">
        <v>127</v>
      </c>
      <c r="B135" s="1"/>
      <c r="C135" s="1"/>
      <c r="D135" s="1"/>
      <c r="E135" s="1"/>
      <c r="F135" s="1"/>
    </row>
    <row r="136" spans="1:6" ht="12.75">
      <c r="A136" s="1">
        <v>128</v>
      </c>
      <c r="B136" s="1"/>
      <c r="C136" s="1"/>
      <c r="D136" s="1"/>
      <c r="E136" s="1"/>
      <c r="F136" s="1"/>
    </row>
    <row r="137" spans="1:6" ht="12.75">
      <c r="A137" s="1">
        <v>129</v>
      </c>
      <c r="B137" s="1"/>
      <c r="C137" s="1"/>
      <c r="D137" s="1"/>
      <c r="E137" s="1"/>
      <c r="F137" s="1"/>
    </row>
    <row r="138" spans="1:6" ht="12.75">
      <c r="A138" s="1">
        <v>130</v>
      </c>
      <c r="B138" s="1"/>
      <c r="C138" s="1"/>
      <c r="D138" s="1"/>
      <c r="E138" s="1"/>
      <c r="F138" s="1"/>
    </row>
    <row r="139" spans="1:6" ht="12.75">
      <c r="A139" s="1">
        <v>131</v>
      </c>
      <c r="B139" s="1"/>
      <c r="C139" s="1"/>
      <c r="D139" s="1"/>
      <c r="E139" s="1"/>
      <c r="F139" s="1"/>
    </row>
    <row r="140" spans="1:6" ht="12.75">
      <c r="A140" s="1">
        <v>132</v>
      </c>
      <c r="B140" s="1"/>
      <c r="C140" s="1"/>
      <c r="D140" s="1"/>
      <c r="E140" s="1"/>
      <c r="F140" s="1"/>
    </row>
    <row r="141" spans="1:6" ht="12.75">
      <c r="A141" s="1">
        <v>133</v>
      </c>
      <c r="B141" s="1"/>
      <c r="C141" s="1"/>
      <c r="D141" s="1"/>
      <c r="E141" s="1"/>
      <c r="F141" s="1"/>
    </row>
    <row r="142" spans="1:6" ht="12.75">
      <c r="A142" s="1">
        <v>134</v>
      </c>
      <c r="B142" s="1"/>
      <c r="C142" s="1"/>
      <c r="D142" s="1"/>
      <c r="E142" s="1"/>
      <c r="F142" s="1"/>
    </row>
    <row r="143" spans="1:6" ht="12.75">
      <c r="A143" s="1">
        <v>135</v>
      </c>
      <c r="B143" s="1"/>
      <c r="C143" s="1"/>
      <c r="D143" s="1"/>
      <c r="E143" s="1"/>
      <c r="F143" s="1"/>
    </row>
    <row r="144" spans="1:6" ht="12.75">
      <c r="A144" s="1">
        <v>136</v>
      </c>
      <c r="B144" s="1"/>
      <c r="C144" s="1"/>
      <c r="D144" s="1"/>
      <c r="E144" s="1"/>
      <c r="F144" s="1"/>
    </row>
    <row r="145" spans="1:6" ht="12.75">
      <c r="A145" s="1">
        <v>137</v>
      </c>
      <c r="B145" s="1"/>
      <c r="C145" s="1"/>
      <c r="D145" s="1"/>
      <c r="E145" s="1"/>
      <c r="F145" s="1"/>
    </row>
    <row r="146" spans="1:6" ht="12.75">
      <c r="A146" s="1">
        <v>138</v>
      </c>
      <c r="B146" s="1"/>
      <c r="C146" s="1"/>
      <c r="D146" s="1"/>
      <c r="E146" s="1"/>
      <c r="F146" s="1"/>
    </row>
    <row r="147" spans="1:6" ht="12.75">
      <c r="A147" s="1">
        <v>139</v>
      </c>
      <c r="B147" s="1"/>
      <c r="C147" s="1"/>
      <c r="D147" s="1"/>
      <c r="E147" s="1"/>
      <c r="F147" s="1"/>
    </row>
    <row r="148" spans="1:6" ht="12.75">
      <c r="A148" s="1">
        <v>140</v>
      </c>
      <c r="B148" s="1"/>
      <c r="C148" s="1"/>
      <c r="D148" s="1"/>
      <c r="E148" s="1"/>
      <c r="F148" s="1"/>
    </row>
    <row r="149" spans="1:6" ht="12.75">
      <c r="A149" s="1">
        <v>141</v>
      </c>
      <c r="B149" s="1"/>
      <c r="C149" s="1"/>
      <c r="D149" s="1"/>
      <c r="E149" s="1"/>
      <c r="F149" s="1"/>
    </row>
    <row r="150" spans="1:6" ht="12.75">
      <c r="A150" s="1">
        <v>142</v>
      </c>
      <c r="B150" s="1"/>
      <c r="C150" s="1"/>
      <c r="D150" s="1"/>
      <c r="E150" s="1"/>
      <c r="F150" s="1"/>
    </row>
    <row r="151" spans="1:6" ht="12.75">
      <c r="A151" s="1">
        <v>143</v>
      </c>
      <c r="B151" s="1"/>
      <c r="C151" s="1"/>
      <c r="D151" s="1"/>
      <c r="E151" s="1"/>
      <c r="F151" s="1"/>
    </row>
    <row r="152" spans="1:6" ht="12.75">
      <c r="A152" s="1">
        <v>144</v>
      </c>
      <c r="B152" s="1"/>
      <c r="C152" s="1"/>
      <c r="D152" s="1"/>
      <c r="E152" s="1"/>
      <c r="F152" s="1"/>
    </row>
    <row r="153" spans="1:6" ht="12.75">
      <c r="A153" s="1">
        <v>145</v>
      </c>
      <c r="B153" s="1"/>
      <c r="C153" s="1"/>
      <c r="D153" s="1"/>
      <c r="E153" s="1"/>
      <c r="F153" s="1"/>
    </row>
    <row r="154" spans="1:6" ht="12.75">
      <c r="A154" s="1">
        <v>146</v>
      </c>
      <c r="B154" s="1"/>
      <c r="C154" s="1"/>
      <c r="D154" s="1"/>
      <c r="E154" s="1"/>
      <c r="F154" s="1"/>
    </row>
    <row r="155" spans="1:6" ht="12.75">
      <c r="A155" s="1">
        <v>147</v>
      </c>
      <c r="B155" s="1"/>
      <c r="C155" s="1"/>
      <c r="D155" s="1"/>
      <c r="E155" s="1"/>
      <c r="F155" s="1"/>
    </row>
    <row r="156" spans="1:6" ht="12.75">
      <c r="A156" s="1">
        <v>148</v>
      </c>
      <c r="B156" s="1"/>
      <c r="C156" s="1"/>
      <c r="D156" s="1"/>
      <c r="E156" s="1"/>
      <c r="F156" s="1"/>
    </row>
    <row r="157" spans="1:6" ht="12.75">
      <c r="A157" s="1">
        <v>149</v>
      </c>
      <c r="B157" s="1"/>
      <c r="C157" s="1"/>
      <c r="D157" s="1"/>
      <c r="E157" s="1"/>
      <c r="F157" s="1"/>
    </row>
    <row r="158" spans="1:6" ht="12.75">
      <c r="A158" s="1">
        <v>150</v>
      </c>
      <c r="B158" s="1"/>
      <c r="C158" s="1"/>
      <c r="D158" s="1"/>
      <c r="E158" s="1"/>
      <c r="F158" s="1"/>
    </row>
    <row r="159" spans="1:6" ht="12.75">
      <c r="A159" s="1">
        <v>151</v>
      </c>
      <c r="B159" s="1"/>
      <c r="C159" s="1"/>
      <c r="D159" s="1"/>
      <c r="E159" s="1"/>
      <c r="F159" s="1"/>
    </row>
    <row r="160" spans="1:6" ht="12.75">
      <c r="A160" s="1">
        <v>152</v>
      </c>
      <c r="B160" s="1"/>
      <c r="C160" s="1"/>
      <c r="D160" s="1"/>
      <c r="E160" s="1"/>
      <c r="F160" s="1"/>
    </row>
    <row r="161" spans="1:6" ht="12.75">
      <c r="A161" s="1">
        <v>153</v>
      </c>
      <c r="B161" s="1"/>
      <c r="C161" s="1"/>
      <c r="D161" s="1"/>
      <c r="E161" s="1"/>
      <c r="F161" s="1"/>
    </row>
    <row r="162" spans="1:6" ht="12.75">
      <c r="A162" s="1">
        <v>154</v>
      </c>
      <c r="B162" s="1"/>
      <c r="C162" s="1"/>
      <c r="D162" s="1"/>
      <c r="E162" s="1"/>
      <c r="F162" s="1"/>
    </row>
    <row r="163" spans="1:6" ht="12.75">
      <c r="A163" s="1">
        <v>155</v>
      </c>
      <c r="B163" s="1"/>
      <c r="C163" s="1"/>
      <c r="D163" s="1"/>
      <c r="E163" s="1"/>
      <c r="F163" s="1"/>
    </row>
    <row r="164" spans="1:6" ht="12.75">
      <c r="A164" s="1">
        <v>156</v>
      </c>
      <c r="B164" s="1"/>
      <c r="C164" s="1"/>
      <c r="D164" s="1"/>
      <c r="E164" s="1"/>
      <c r="F164" s="1"/>
    </row>
    <row r="165" spans="1:6" ht="12.75">
      <c r="A165" s="1">
        <v>157</v>
      </c>
      <c r="B165" s="1"/>
      <c r="C165" s="1"/>
      <c r="D165" s="1"/>
      <c r="E165" s="1"/>
      <c r="F165" s="1"/>
    </row>
    <row r="166" spans="1:6" ht="12.75">
      <c r="A166" s="1">
        <v>158</v>
      </c>
      <c r="B166" s="1"/>
      <c r="C166" s="1"/>
      <c r="D166" s="1"/>
      <c r="E166" s="1"/>
      <c r="F166" s="1"/>
    </row>
    <row r="167" spans="1:6" ht="12.75">
      <c r="A167" s="1">
        <v>159</v>
      </c>
      <c r="B167" s="1"/>
      <c r="C167" s="1"/>
      <c r="D167" s="1"/>
      <c r="E167" s="1"/>
      <c r="F167" s="1"/>
    </row>
    <row r="168" spans="1:6" ht="12.75">
      <c r="A168" s="1">
        <v>160</v>
      </c>
      <c r="B168" s="1"/>
      <c r="C168" s="1"/>
      <c r="D168" s="1"/>
      <c r="E168" s="1"/>
      <c r="F168" s="1"/>
    </row>
    <row r="169" spans="1:6" ht="12.75">
      <c r="A169" s="1">
        <v>161</v>
      </c>
      <c r="B169" s="1"/>
      <c r="C169" s="1"/>
      <c r="D169" s="1"/>
      <c r="E169" s="1"/>
      <c r="F169" s="1"/>
    </row>
    <row r="170" spans="1:6" ht="12.75">
      <c r="A170" s="1">
        <v>162</v>
      </c>
      <c r="B170" s="1"/>
      <c r="C170" s="1"/>
      <c r="D170" s="1"/>
      <c r="E170" s="1"/>
      <c r="F170" s="1"/>
    </row>
    <row r="171" spans="1:6" ht="12.75">
      <c r="A171" s="1">
        <v>163</v>
      </c>
      <c r="B171" s="1"/>
      <c r="C171" s="1"/>
      <c r="D171" s="1"/>
      <c r="E171" s="1"/>
      <c r="F171" s="1"/>
    </row>
    <row r="172" spans="1:6" ht="12.75">
      <c r="A172" s="1">
        <v>164</v>
      </c>
      <c r="B172" s="1"/>
      <c r="C172" s="1"/>
      <c r="D172" s="1"/>
      <c r="E172" s="1"/>
      <c r="F172" s="1"/>
    </row>
    <row r="173" spans="1:6" ht="12.75">
      <c r="A173" s="1">
        <v>165</v>
      </c>
      <c r="B173" s="1"/>
      <c r="C173" s="1"/>
      <c r="D173" s="1"/>
      <c r="E173" s="1"/>
      <c r="F173" s="1"/>
    </row>
    <row r="174" spans="1:6" ht="12.75">
      <c r="A174" s="1">
        <v>166</v>
      </c>
      <c r="B174" s="1"/>
      <c r="C174" s="1"/>
      <c r="D174" s="1"/>
      <c r="E174" s="1"/>
      <c r="F174" s="1"/>
    </row>
    <row r="175" spans="1:6" ht="12.75">
      <c r="A175" s="1">
        <v>167</v>
      </c>
      <c r="B175" s="1"/>
      <c r="C175" s="1"/>
      <c r="D175" s="1"/>
      <c r="E175" s="1"/>
      <c r="F175" s="1"/>
    </row>
    <row r="176" spans="1:6" ht="12.75">
      <c r="A176" s="1">
        <v>168</v>
      </c>
      <c r="B176" s="1"/>
      <c r="C176" s="1"/>
      <c r="D176" s="1"/>
      <c r="E176" s="1"/>
      <c r="F176" s="1"/>
    </row>
    <row r="177" spans="1:6" ht="12.75">
      <c r="A177" s="1">
        <v>169</v>
      </c>
      <c r="B177" s="1"/>
      <c r="C177" s="1"/>
      <c r="D177" s="1"/>
      <c r="E177" s="1"/>
      <c r="F177" s="1"/>
    </row>
    <row r="178" spans="1:6" ht="12.75">
      <c r="A178" s="1">
        <v>170</v>
      </c>
      <c r="B178" s="1"/>
      <c r="C178" s="1"/>
      <c r="D178" s="1"/>
      <c r="E178" s="1"/>
      <c r="F178" s="1"/>
    </row>
    <row r="179" spans="1:6" ht="12.75">
      <c r="A179" s="1">
        <v>171</v>
      </c>
      <c r="B179" s="1"/>
      <c r="C179" s="1"/>
      <c r="D179" s="1"/>
      <c r="E179" s="1"/>
      <c r="F179" s="1"/>
    </row>
    <row r="180" spans="1:6" ht="12.75">
      <c r="A180" s="1">
        <v>172</v>
      </c>
      <c r="B180" s="1"/>
      <c r="C180" s="1"/>
      <c r="D180" s="1"/>
      <c r="E180" s="1"/>
      <c r="F180" s="1"/>
    </row>
    <row r="181" spans="1:6" ht="12.75">
      <c r="A181" s="1">
        <v>173</v>
      </c>
      <c r="B181" s="1"/>
      <c r="C181" s="1"/>
      <c r="D181" s="1"/>
      <c r="E181" s="1"/>
      <c r="F181" s="1"/>
    </row>
    <row r="182" spans="1:6" ht="12.75">
      <c r="A182" s="1">
        <v>174</v>
      </c>
      <c r="B182" s="1"/>
      <c r="C182" s="1"/>
      <c r="D182" s="1"/>
      <c r="E182" s="1"/>
      <c r="F182" s="1"/>
    </row>
    <row r="183" spans="1:6" ht="12.75">
      <c r="A183" s="1">
        <v>175</v>
      </c>
      <c r="B183" s="1"/>
      <c r="C183" s="1"/>
      <c r="D183" s="1"/>
      <c r="E183" s="1"/>
      <c r="F183" s="1"/>
    </row>
    <row r="184" spans="1:6" ht="12.75">
      <c r="A184" s="1">
        <v>176</v>
      </c>
      <c r="B184" s="1"/>
      <c r="C184" s="1"/>
      <c r="D184" s="1"/>
      <c r="E184" s="1"/>
      <c r="F184" s="1"/>
    </row>
    <row r="185" spans="1:6" ht="12.75">
      <c r="A185" s="1">
        <v>177</v>
      </c>
      <c r="B185" s="1"/>
      <c r="C185" s="1"/>
      <c r="D185" s="1"/>
      <c r="E185" s="1"/>
      <c r="F185" s="1"/>
    </row>
    <row r="186" spans="1:6" ht="12.75">
      <c r="A186" s="1">
        <v>178</v>
      </c>
      <c r="B186" s="1"/>
      <c r="C186" s="1"/>
      <c r="D186" s="1"/>
      <c r="E186" s="1"/>
      <c r="F186" s="1"/>
    </row>
    <row r="187" spans="1:6" ht="12.75">
      <c r="A187" s="1">
        <v>179</v>
      </c>
      <c r="B187" s="1"/>
      <c r="C187" s="1"/>
      <c r="D187" s="1"/>
      <c r="E187" s="1"/>
      <c r="F187" s="1"/>
    </row>
    <row r="188" spans="1:6" ht="12.75">
      <c r="A188" s="1">
        <v>180</v>
      </c>
      <c r="B188" s="1"/>
      <c r="C188" s="1"/>
      <c r="D188" s="1"/>
      <c r="E188" s="1"/>
      <c r="F188" s="1"/>
    </row>
    <row r="189" spans="1:6" ht="12.75">
      <c r="A189" s="1">
        <v>181</v>
      </c>
      <c r="B189" s="1"/>
      <c r="C189" s="1"/>
      <c r="D189" s="1"/>
      <c r="E189" s="1"/>
      <c r="F189" s="1"/>
    </row>
    <row r="190" spans="1:6" ht="12.75">
      <c r="A190" s="1">
        <v>182</v>
      </c>
      <c r="B190" s="1"/>
      <c r="C190" s="1"/>
      <c r="D190" s="1"/>
      <c r="E190" s="1"/>
      <c r="F190" s="1"/>
    </row>
    <row r="191" spans="1:6" ht="12.75">
      <c r="A191" s="1">
        <v>183</v>
      </c>
      <c r="B191" s="1"/>
      <c r="C191" s="1"/>
      <c r="D191" s="1"/>
      <c r="E191" s="1"/>
      <c r="F191" s="1"/>
    </row>
    <row r="192" spans="1:6" ht="12.75">
      <c r="A192" s="1">
        <v>184</v>
      </c>
      <c r="B192" s="1"/>
      <c r="C192" s="1"/>
      <c r="D192" s="1"/>
      <c r="E192" s="1"/>
      <c r="F192" s="1"/>
    </row>
    <row r="193" spans="1:6" ht="12.75">
      <c r="A193" s="1">
        <v>185</v>
      </c>
      <c r="B193" s="1"/>
      <c r="C193" s="1"/>
      <c r="D193" s="1"/>
      <c r="E193" s="1"/>
      <c r="F193" s="1"/>
    </row>
    <row r="194" spans="1:6" ht="12.75">
      <c r="A194" s="1">
        <v>186</v>
      </c>
      <c r="B194" s="1"/>
      <c r="C194" s="1"/>
      <c r="D194" s="1"/>
      <c r="E194" s="1"/>
      <c r="F194" s="1"/>
    </row>
    <row r="195" spans="1:6" ht="12.75">
      <c r="A195" s="1">
        <v>187</v>
      </c>
      <c r="B195" s="1"/>
      <c r="C195" s="1"/>
      <c r="D195" s="1"/>
      <c r="E195" s="1"/>
      <c r="F195" s="1"/>
    </row>
    <row r="196" spans="1:6" ht="12.75">
      <c r="A196" s="1">
        <v>188</v>
      </c>
      <c r="B196" s="1"/>
      <c r="C196" s="1"/>
      <c r="D196" s="1"/>
      <c r="E196" s="1"/>
      <c r="F196" s="1"/>
    </row>
    <row r="197" spans="1:6" ht="12.75">
      <c r="A197" s="1">
        <v>189</v>
      </c>
      <c r="B197" s="1"/>
      <c r="C197" s="1"/>
      <c r="D197" s="1"/>
      <c r="E197" s="1"/>
      <c r="F197" s="1"/>
    </row>
    <row r="198" spans="1:6" ht="12.75">
      <c r="A198" s="1">
        <v>190</v>
      </c>
      <c r="B198" s="1"/>
      <c r="C198" s="1"/>
      <c r="D198" s="1"/>
      <c r="E198" s="1"/>
      <c r="F198" s="1"/>
    </row>
    <row r="199" spans="1:6" ht="12.75">
      <c r="A199" s="1">
        <v>191</v>
      </c>
      <c r="B199" s="1"/>
      <c r="C199" s="1"/>
      <c r="D199" s="1"/>
      <c r="E199" s="1"/>
      <c r="F199" s="1"/>
    </row>
    <row r="200" spans="1:6" ht="12.75">
      <c r="A200" s="1">
        <v>192</v>
      </c>
      <c r="B200" s="1"/>
      <c r="C200" s="1"/>
      <c r="D200" s="1"/>
      <c r="E200" s="1"/>
      <c r="F200" s="1"/>
    </row>
    <row r="201" spans="1:6" ht="12.75">
      <c r="A201" s="1">
        <v>193</v>
      </c>
      <c r="B201" s="1"/>
      <c r="C201" s="1"/>
      <c r="D201" s="1"/>
      <c r="E201" s="1"/>
      <c r="F201" s="1"/>
    </row>
    <row r="202" spans="1:6" ht="12.75">
      <c r="A202" s="1">
        <v>194</v>
      </c>
      <c r="B202" s="1"/>
      <c r="C202" s="1"/>
      <c r="D202" s="1"/>
      <c r="E202" s="1"/>
      <c r="F202" s="1"/>
    </row>
    <row r="203" spans="1:6" ht="12.75">
      <c r="A203" s="1">
        <v>195</v>
      </c>
      <c r="B203" s="1"/>
      <c r="C203" s="1"/>
      <c r="D203" s="1"/>
      <c r="E203" s="1"/>
      <c r="F203" s="1"/>
    </row>
    <row r="204" spans="1:6" ht="12.75">
      <c r="A204" s="1">
        <v>196</v>
      </c>
      <c r="B204" s="1"/>
      <c r="C204" s="1"/>
      <c r="D204" s="1"/>
      <c r="E204" s="1"/>
      <c r="F204" s="1"/>
    </row>
    <row r="205" spans="1:6" ht="12.75">
      <c r="A205" s="1">
        <v>197</v>
      </c>
      <c r="B205" s="1"/>
      <c r="C205" s="1"/>
      <c r="D205" s="1"/>
      <c r="E205" s="1"/>
      <c r="F205" s="1"/>
    </row>
    <row r="206" spans="1:7" ht="12.75">
      <c r="A206" s="1">
        <v>198</v>
      </c>
      <c r="B206" s="1"/>
      <c r="C206" s="1"/>
      <c r="D206" s="1"/>
      <c r="E206" s="1"/>
      <c r="F206" s="1"/>
      <c r="G206" t="s">
        <v>104</v>
      </c>
    </row>
    <row r="207" spans="1:18" ht="12.75">
      <c r="A207" s="1">
        <v>199</v>
      </c>
      <c r="B207" s="1"/>
      <c r="C207" s="1"/>
      <c r="D207" s="1"/>
      <c r="E207" s="1"/>
      <c r="F207" s="1"/>
      <c r="G207" s="32" t="s">
        <v>89</v>
      </c>
      <c r="H207" s="32" t="s">
        <v>43</v>
      </c>
      <c r="I207" s="32" t="s">
        <v>44</v>
      </c>
      <c r="J207" s="32" t="s">
        <v>45</v>
      </c>
      <c r="K207" s="32" t="s">
        <v>46</v>
      </c>
      <c r="L207" s="32" t="s">
        <v>102</v>
      </c>
      <c r="M207" s="32" t="s">
        <v>105</v>
      </c>
      <c r="N207" s="32" t="s">
        <v>106</v>
      </c>
      <c r="O207" s="32" t="s">
        <v>107</v>
      </c>
      <c r="P207" s="32" t="s">
        <v>114</v>
      </c>
      <c r="Q207" s="32" t="s">
        <v>166</v>
      </c>
      <c r="R207" s="32"/>
    </row>
    <row r="208" spans="1:17" ht="12.75">
      <c r="A208" s="1">
        <v>200</v>
      </c>
      <c r="B208" s="1" t="s">
        <v>52</v>
      </c>
      <c r="C208" s="1" t="s">
        <v>69</v>
      </c>
      <c r="D208" s="1">
        <v>2523</v>
      </c>
      <c r="E208" s="1" t="s">
        <v>38</v>
      </c>
      <c r="F208" s="1" t="s">
        <v>40</v>
      </c>
      <c r="G208" s="23" t="s">
        <v>90</v>
      </c>
      <c r="H208" s="23" t="s">
        <v>51</v>
      </c>
      <c r="I208" s="23" t="s">
        <v>51</v>
      </c>
      <c r="J208" s="23" t="s">
        <v>51</v>
      </c>
      <c r="K208" s="23" t="s">
        <v>51</v>
      </c>
      <c r="L208" s="23" t="s">
        <v>51</v>
      </c>
      <c r="M208" s="23" t="s">
        <v>51</v>
      </c>
      <c r="N208" s="23" t="s">
        <v>51</v>
      </c>
      <c r="O208" s="23" t="s">
        <v>51</v>
      </c>
      <c r="P208" s="21" t="s">
        <v>51</v>
      </c>
      <c r="Q208" s="42" t="s">
        <v>51</v>
      </c>
    </row>
    <row r="209" spans="1:17" ht="12.75">
      <c r="A209" s="1">
        <v>201</v>
      </c>
      <c r="B209" s="1" t="s">
        <v>49</v>
      </c>
      <c r="C209" s="1" t="s">
        <v>70</v>
      </c>
      <c r="D209" s="1">
        <v>1664</v>
      </c>
      <c r="E209" s="1" t="s">
        <v>38</v>
      </c>
      <c r="F209" s="1" t="s">
        <v>40</v>
      </c>
      <c r="G209" s="23" t="s">
        <v>90</v>
      </c>
      <c r="H209" s="23" t="s">
        <v>51</v>
      </c>
      <c r="I209" s="23" t="s">
        <v>51</v>
      </c>
      <c r="J209" s="23" t="s">
        <v>51</v>
      </c>
      <c r="K209" s="23" t="s">
        <v>51</v>
      </c>
      <c r="L209" s="23" t="s">
        <v>51</v>
      </c>
      <c r="M209" s="23" t="s">
        <v>51</v>
      </c>
      <c r="N209" s="23" t="s">
        <v>51</v>
      </c>
      <c r="O209" s="23" t="s">
        <v>51</v>
      </c>
      <c r="P209" s="21" t="s">
        <v>51</v>
      </c>
      <c r="Q209" s="42" t="s">
        <v>51</v>
      </c>
    </row>
    <row r="210" spans="1:17" ht="12.75">
      <c r="A210" s="1">
        <v>202</v>
      </c>
      <c r="B210" s="1" t="s">
        <v>71</v>
      </c>
      <c r="C210" s="1" t="s">
        <v>76</v>
      </c>
      <c r="D210" s="1">
        <v>710</v>
      </c>
      <c r="E210" s="1" t="s">
        <v>38</v>
      </c>
      <c r="F210" s="1" t="s">
        <v>87</v>
      </c>
      <c r="G210" s="23" t="s">
        <v>90</v>
      </c>
      <c r="H210" s="23" t="s">
        <v>51</v>
      </c>
      <c r="I210" s="23" t="s">
        <v>51</v>
      </c>
      <c r="J210" s="23" t="s">
        <v>51</v>
      </c>
      <c r="K210" s="23" t="s">
        <v>51</v>
      </c>
      <c r="L210" s="23" t="s">
        <v>51</v>
      </c>
      <c r="M210" s="23" t="s">
        <v>51</v>
      </c>
      <c r="N210" s="23" t="s">
        <v>51</v>
      </c>
      <c r="O210" s="23" t="s">
        <v>51</v>
      </c>
      <c r="P210" s="21" t="s">
        <v>51</v>
      </c>
      <c r="Q210" s="42" t="s">
        <v>51</v>
      </c>
    </row>
    <row r="211" spans="1:17" ht="12.75">
      <c r="A211" s="1">
        <v>203</v>
      </c>
      <c r="B211" s="1" t="s">
        <v>83</v>
      </c>
      <c r="C211" s="1" t="s">
        <v>72</v>
      </c>
      <c r="D211" s="1">
        <v>160</v>
      </c>
      <c r="E211" s="1" t="s">
        <v>38</v>
      </c>
      <c r="F211" s="1" t="s">
        <v>87</v>
      </c>
      <c r="G211" s="23" t="s">
        <v>90</v>
      </c>
      <c r="H211" s="23" t="s">
        <v>51</v>
      </c>
      <c r="I211" s="23" t="s">
        <v>51</v>
      </c>
      <c r="J211" s="23" t="s">
        <v>51</v>
      </c>
      <c r="K211" s="23" t="s">
        <v>51</v>
      </c>
      <c r="L211" s="23" t="s">
        <v>51</v>
      </c>
      <c r="M211" s="23" t="s">
        <v>51</v>
      </c>
      <c r="N211" s="23" t="s">
        <v>51</v>
      </c>
      <c r="O211" s="23" t="s">
        <v>51</v>
      </c>
      <c r="P211" s="21" t="s">
        <v>115</v>
      </c>
      <c r="Q211" s="42" t="s">
        <v>51</v>
      </c>
    </row>
    <row r="212" spans="1:17" ht="12.75">
      <c r="A212" s="1">
        <v>204</v>
      </c>
      <c r="B212" s="1" t="s">
        <v>113</v>
      </c>
      <c r="C212" s="1" t="s">
        <v>5</v>
      </c>
      <c r="D212" s="1">
        <v>652</v>
      </c>
      <c r="E212" s="1" t="s">
        <v>38</v>
      </c>
      <c r="F212" s="1" t="s">
        <v>42</v>
      </c>
      <c r="G212" s="23" t="s">
        <v>90</v>
      </c>
      <c r="H212" s="23" t="s">
        <v>51</v>
      </c>
      <c r="I212" s="23" t="s">
        <v>51</v>
      </c>
      <c r="J212" s="23" t="s">
        <v>51</v>
      </c>
      <c r="K212" s="23" t="s">
        <v>51</v>
      </c>
      <c r="L212" s="23" t="s">
        <v>51</v>
      </c>
      <c r="M212" s="23" t="s">
        <v>51</v>
      </c>
      <c r="N212" s="23" t="s">
        <v>51</v>
      </c>
      <c r="O212" s="23" t="s">
        <v>51</v>
      </c>
      <c r="P212" s="21" t="s">
        <v>51</v>
      </c>
      <c r="Q212" s="42" t="s">
        <v>51</v>
      </c>
    </row>
    <row r="213" spans="1:17" ht="12.75">
      <c r="A213" s="1">
        <v>205</v>
      </c>
      <c r="B213" s="1" t="s">
        <v>84</v>
      </c>
      <c r="C213" s="1" t="s">
        <v>73</v>
      </c>
      <c r="D213" s="1">
        <v>817</v>
      </c>
      <c r="E213" s="1" t="s">
        <v>38</v>
      </c>
      <c r="F213" s="1" t="s">
        <v>42</v>
      </c>
      <c r="G213" s="23" t="s">
        <v>90</v>
      </c>
      <c r="H213" s="23" t="s">
        <v>47</v>
      </c>
      <c r="I213" s="23" t="s">
        <v>100</v>
      </c>
      <c r="J213" s="23" t="s">
        <v>101</v>
      </c>
      <c r="K213" s="23" t="s">
        <v>51</v>
      </c>
      <c r="L213" s="23" t="s">
        <v>51</v>
      </c>
      <c r="M213" s="23" t="s">
        <v>51</v>
      </c>
      <c r="N213" s="23" t="s">
        <v>51</v>
      </c>
      <c r="O213" s="23" t="s">
        <v>51</v>
      </c>
      <c r="P213" s="21" t="s">
        <v>116</v>
      </c>
      <c r="Q213" s="42" t="s">
        <v>123</v>
      </c>
    </row>
    <row r="214" spans="1:17" ht="12.75">
      <c r="A214" s="1">
        <v>206</v>
      </c>
      <c r="B214" s="1" t="s">
        <v>37</v>
      </c>
      <c r="C214" s="1" t="s">
        <v>70</v>
      </c>
      <c r="D214" s="1">
        <v>1519</v>
      </c>
      <c r="E214" s="1" t="s">
        <v>38</v>
      </c>
      <c r="F214" s="1" t="s">
        <v>40</v>
      </c>
      <c r="G214" s="23" t="s">
        <v>90</v>
      </c>
      <c r="H214" s="23" t="s">
        <v>51</v>
      </c>
      <c r="I214" s="23" t="s">
        <v>51</v>
      </c>
      <c r="J214" s="23" t="s">
        <v>51</v>
      </c>
      <c r="K214" s="23" t="s">
        <v>51</v>
      </c>
      <c r="L214" s="23" t="s">
        <v>51</v>
      </c>
      <c r="M214" s="23" t="s">
        <v>51</v>
      </c>
      <c r="N214" s="23" t="s">
        <v>51</v>
      </c>
      <c r="O214" s="23" t="s">
        <v>51</v>
      </c>
      <c r="P214" s="21" t="s">
        <v>51</v>
      </c>
      <c r="Q214" s="42" t="s">
        <v>51</v>
      </c>
    </row>
    <row r="215" spans="1:17" ht="12.75">
      <c r="A215" s="1">
        <v>207</v>
      </c>
      <c r="B215" s="1" t="s">
        <v>79</v>
      </c>
      <c r="C215" s="1" t="s">
        <v>72</v>
      </c>
      <c r="D215" s="1">
        <v>350</v>
      </c>
      <c r="E215" s="1" t="s">
        <v>38</v>
      </c>
      <c r="F215" s="1" t="s">
        <v>54</v>
      </c>
      <c r="G215" s="23" t="s">
        <v>90</v>
      </c>
      <c r="H215" s="23" t="s">
        <v>51</v>
      </c>
      <c r="I215" s="23" t="s">
        <v>51</v>
      </c>
      <c r="J215" s="23" t="s">
        <v>51</v>
      </c>
      <c r="K215" s="23" t="s">
        <v>51</v>
      </c>
      <c r="L215" s="23" t="s">
        <v>51</v>
      </c>
      <c r="M215" s="23" t="s">
        <v>51</v>
      </c>
      <c r="N215" s="23" t="s">
        <v>51</v>
      </c>
      <c r="O215" s="23" t="s">
        <v>51</v>
      </c>
      <c r="P215" s="21" t="s">
        <v>117</v>
      </c>
      <c r="Q215" s="42" t="s">
        <v>51</v>
      </c>
    </row>
    <row r="216" spans="1:17" ht="12.75">
      <c r="A216" s="1">
        <v>208</v>
      </c>
      <c r="B216" s="1" t="s">
        <v>39</v>
      </c>
      <c r="C216" s="1" t="s">
        <v>72</v>
      </c>
      <c r="D216" s="1">
        <v>2378</v>
      </c>
      <c r="E216" s="1" t="s">
        <v>38</v>
      </c>
      <c r="F216" s="1" t="s">
        <v>54</v>
      </c>
      <c r="G216" s="23" t="s">
        <v>90</v>
      </c>
      <c r="H216" s="23" t="s">
        <v>47</v>
      </c>
      <c r="I216" s="23" t="s">
        <v>100</v>
      </c>
      <c r="J216" s="23" t="s">
        <v>109</v>
      </c>
      <c r="K216" s="21" t="s">
        <v>51</v>
      </c>
      <c r="L216" s="21" t="s">
        <v>51</v>
      </c>
      <c r="M216" s="21" t="s">
        <v>51</v>
      </c>
      <c r="N216" s="21" t="s">
        <v>51</v>
      </c>
      <c r="O216" s="21" t="s">
        <v>51</v>
      </c>
      <c r="P216" s="21" t="s">
        <v>118</v>
      </c>
      <c r="Q216" s="42" t="s">
        <v>123</v>
      </c>
    </row>
    <row r="217" spans="1:17" ht="12.75">
      <c r="A217" s="1">
        <v>209</v>
      </c>
      <c r="B217" s="1" t="s">
        <v>53</v>
      </c>
      <c r="C217" s="1" t="s">
        <v>72</v>
      </c>
      <c r="D217" s="1">
        <v>8690</v>
      </c>
      <c r="E217" s="1" t="s">
        <v>38</v>
      </c>
      <c r="F217" s="1" t="s">
        <v>87</v>
      </c>
      <c r="G217" s="23" t="s">
        <v>90</v>
      </c>
      <c r="H217" s="23" t="s">
        <v>47</v>
      </c>
      <c r="I217" s="23" t="s">
        <v>48</v>
      </c>
      <c r="J217" s="23" t="s">
        <v>101</v>
      </c>
      <c r="K217" s="23" t="s">
        <v>110</v>
      </c>
      <c r="L217" s="23" t="s">
        <v>51</v>
      </c>
      <c r="M217" s="23" t="s">
        <v>51</v>
      </c>
      <c r="N217" s="23" t="s">
        <v>111</v>
      </c>
      <c r="O217" s="23" t="s">
        <v>51</v>
      </c>
      <c r="P217" s="21" t="s">
        <v>119</v>
      </c>
      <c r="Q217" s="42" t="s">
        <v>51</v>
      </c>
    </row>
    <row r="218" spans="1:17" ht="12.75">
      <c r="A218" s="1">
        <v>210</v>
      </c>
      <c r="B218" s="1" t="s">
        <v>85</v>
      </c>
      <c r="C218" s="1" t="s">
        <v>72</v>
      </c>
      <c r="D218" s="1">
        <v>1643</v>
      </c>
      <c r="E218" s="1" t="s">
        <v>38</v>
      </c>
      <c r="F218" s="1" t="s">
        <v>42</v>
      </c>
      <c r="G218" s="23" t="s">
        <v>90</v>
      </c>
      <c r="H218" s="23" t="s">
        <v>51</v>
      </c>
      <c r="I218" s="23" t="s">
        <v>51</v>
      </c>
      <c r="J218" s="23" t="s">
        <v>51</v>
      </c>
      <c r="K218" s="23" t="s">
        <v>51</v>
      </c>
      <c r="L218" s="23" t="s">
        <v>51</v>
      </c>
      <c r="M218" s="23" t="s">
        <v>51</v>
      </c>
      <c r="N218" s="23" t="s">
        <v>51</v>
      </c>
      <c r="O218" s="23" t="s">
        <v>51</v>
      </c>
      <c r="P218" s="21" t="s">
        <v>120</v>
      </c>
      <c r="Q218" s="42" t="s">
        <v>51</v>
      </c>
    </row>
    <row r="219" spans="1:17" ht="12.75">
      <c r="A219" s="1">
        <v>211</v>
      </c>
      <c r="B219" s="1" t="s">
        <v>75</v>
      </c>
      <c r="C219" s="1" t="s">
        <v>74</v>
      </c>
      <c r="D219" s="1">
        <v>4202</v>
      </c>
      <c r="E219" s="1" t="s">
        <v>38</v>
      </c>
      <c r="F219" s="1" t="s">
        <v>87</v>
      </c>
      <c r="G219" s="23" t="s">
        <v>90</v>
      </c>
      <c r="H219" s="23" t="s">
        <v>51</v>
      </c>
      <c r="I219" s="23" t="s">
        <v>51</v>
      </c>
      <c r="J219" s="23" t="s">
        <v>51</v>
      </c>
      <c r="K219" s="23" t="s">
        <v>51</v>
      </c>
      <c r="L219" s="23" t="s">
        <v>51</v>
      </c>
      <c r="M219" s="23" t="s">
        <v>51</v>
      </c>
      <c r="N219" s="23" t="s">
        <v>51</v>
      </c>
      <c r="O219" s="23" t="s">
        <v>51</v>
      </c>
      <c r="P219" s="21" t="s">
        <v>51</v>
      </c>
      <c r="Q219" s="42" t="s">
        <v>51</v>
      </c>
    </row>
    <row r="220" spans="1:17" ht="12.75">
      <c r="A220" s="1">
        <v>212</v>
      </c>
      <c r="B220" s="1" t="s">
        <v>77</v>
      </c>
      <c r="C220" s="1" t="s">
        <v>76</v>
      </c>
      <c r="D220" s="1">
        <v>4023</v>
      </c>
      <c r="E220" s="1" t="s">
        <v>38</v>
      </c>
      <c r="F220" s="1" t="s">
        <v>42</v>
      </c>
      <c r="G220" s="23" t="s">
        <v>90</v>
      </c>
      <c r="H220" s="23" t="s">
        <v>51</v>
      </c>
      <c r="I220" s="23" t="s">
        <v>51</v>
      </c>
      <c r="J220" s="23" t="s">
        <v>51</v>
      </c>
      <c r="K220" s="23" t="s">
        <v>51</v>
      </c>
      <c r="L220" s="23" t="s">
        <v>51</v>
      </c>
      <c r="M220" s="23" t="s">
        <v>51</v>
      </c>
      <c r="N220" s="23" t="s">
        <v>51</v>
      </c>
      <c r="O220" s="23" t="s">
        <v>51</v>
      </c>
      <c r="P220" s="21" t="s">
        <v>51</v>
      </c>
      <c r="Q220" s="42" t="s">
        <v>51</v>
      </c>
    </row>
    <row r="221" spans="1:17" ht="12.75">
      <c r="A221" s="1">
        <v>213</v>
      </c>
      <c r="B221" s="1" t="s">
        <v>79</v>
      </c>
      <c r="C221" s="1" t="s">
        <v>78</v>
      </c>
      <c r="D221" s="1">
        <v>4310</v>
      </c>
      <c r="E221" s="1" t="s">
        <v>38</v>
      </c>
      <c r="F221" s="1" t="s">
        <v>42</v>
      </c>
      <c r="G221" s="23" t="s">
        <v>90</v>
      </c>
      <c r="H221" s="23" t="s">
        <v>51</v>
      </c>
      <c r="I221" s="23" t="s">
        <v>51</v>
      </c>
      <c r="J221" s="23" t="s">
        <v>51</v>
      </c>
      <c r="K221" s="23" t="s">
        <v>51</v>
      </c>
      <c r="L221" s="23" t="s">
        <v>51</v>
      </c>
      <c r="M221" s="23" t="s">
        <v>51</v>
      </c>
      <c r="N221" s="23" t="s">
        <v>51</v>
      </c>
      <c r="O221" s="23" t="s">
        <v>51</v>
      </c>
      <c r="P221" s="21" t="s">
        <v>51</v>
      </c>
      <c r="Q221" s="42" t="s">
        <v>51</v>
      </c>
    </row>
    <row r="222" spans="1:17" ht="12.75">
      <c r="A222" s="1">
        <v>214</v>
      </c>
      <c r="B222" s="1" t="s">
        <v>80</v>
      </c>
      <c r="C222" s="1" t="s">
        <v>78</v>
      </c>
      <c r="D222" s="1">
        <v>947</v>
      </c>
      <c r="E222" s="1" t="s">
        <v>38</v>
      </c>
      <c r="F222" s="1" t="s">
        <v>42</v>
      </c>
      <c r="G222" s="23" t="s">
        <v>90</v>
      </c>
      <c r="H222" s="23" t="s">
        <v>51</v>
      </c>
      <c r="I222" s="23" t="s">
        <v>51</v>
      </c>
      <c r="J222" s="23" t="s">
        <v>51</v>
      </c>
      <c r="K222" s="23" t="s">
        <v>51</v>
      </c>
      <c r="L222" s="23" t="s">
        <v>51</v>
      </c>
      <c r="M222" s="23" t="s">
        <v>51</v>
      </c>
      <c r="N222" s="23" t="s">
        <v>51</v>
      </c>
      <c r="O222" s="23" t="s">
        <v>51</v>
      </c>
      <c r="P222" s="21" t="s">
        <v>51</v>
      </c>
      <c r="Q222" s="42" t="s">
        <v>51</v>
      </c>
    </row>
    <row r="223" spans="1:17" ht="12.75">
      <c r="A223" s="1">
        <v>215</v>
      </c>
      <c r="B223" s="1" t="s">
        <v>81</v>
      </c>
      <c r="C223" s="1" t="s">
        <v>69</v>
      </c>
      <c r="D223" s="1">
        <v>7428</v>
      </c>
      <c r="E223" s="1" t="s">
        <v>38</v>
      </c>
      <c r="F223" s="1" t="s">
        <v>87</v>
      </c>
      <c r="G223" s="23" t="s">
        <v>90</v>
      </c>
      <c r="H223" s="23" t="s">
        <v>51</v>
      </c>
      <c r="I223" s="23" t="s">
        <v>51</v>
      </c>
      <c r="J223" s="23" t="s">
        <v>51</v>
      </c>
      <c r="K223" s="23" t="s">
        <v>51</v>
      </c>
      <c r="L223" s="23" t="s">
        <v>51</v>
      </c>
      <c r="M223" s="23" t="s">
        <v>51</v>
      </c>
      <c r="N223" s="23" t="s">
        <v>51</v>
      </c>
      <c r="O223" s="23" t="s">
        <v>51</v>
      </c>
      <c r="P223" s="21" t="s">
        <v>51</v>
      </c>
      <c r="Q223" s="42" t="s">
        <v>51</v>
      </c>
    </row>
    <row r="224" spans="1:17" ht="12.75">
      <c r="A224" s="1">
        <v>216</v>
      </c>
      <c r="B224" s="1" t="s">
        <v>83</v>
      </c>
      <c r="C224" s="1" t="s">
        <v>72</v>
      </c>
      <c r="D224" s="1">
        <v>23</v>
      </c>
      <c r="E224" s="1" t="s">
        <v>38</v>
      </c>
      <c r="F224" s="1" t="s">
        <v>87</v>
      </c>
      <c r="G224" s="23" t="s">
        <v>90</v>
      </c>
      <c r="H224" s="23" t="s">
        <v>51</v>
      </c>
      <c r="I224" s="23" t="s">
        <v>51</v>
      </c>
      <c r="J224" s="23" t="s">
        <v>51</v>
      </c>
      <c r="K224" s="23" t="s">
        <v>51</v>
      </c>
      <c r="L224" s="23" t="s">
        <v>51</v>
      </c>
      <c r="M224" s="23" t="s">
        <v>51</v>
      </c>
      <c r="N224" s="23" t="s">
        <v>51</v>
      </c>
      <c r="O224" s="23" t="s">
        <v>51</v>
      </c>
      <c r="P224" s="21" t="s">
        <v>115</v>
      </c>
      <c r="Q224" s="42" t="s">
        <v>51</v>
      </c>
    </row>
    <row r="225" spans="1:17" ht="12.75">
      <c r="A225" s="1">
        <v>217</v>
      </c>
      <c r="B225" s="1" t="s">
        <v>86</v>
      </c>
      <c r="C225" s="1" t="s">
        <v>24</v>
      </c>
      <c r="D225" s="1">
        <v>2034</v>
      </c>
      <c r="E225" s="1" t="s">
        <v>38</v>
      </c>
      <c r="F225" s="1" t="s">
        <v>40</v>
      </c>
      <c r="G225" s="23" t="s">
        <v>90</v>
      </c>
      <c r="H225" s="23" t="s">
        <v>47</v>
      </c>
      <c r="I225" s="23" t="s">
        <v>100</v>
      </c>
      <c r="J225" s="23" t="s">
        <v>112</v>
      </c>
      <c r="K225" s="21" t="s">
        <v>51</v>
      </c>
      <c r="L225" s="21" t="s">
        <v>51</v>
      </c>
      <c r="M225" s="21" t="s">
        <v>51</v>
      </c>
      <c r="N225" s="21" t="s">
        <v>51</v>
      </c>
      <c r="O225" s="21" t="s">
        <v>51</v>
      </c>
      <c r="P225" s="21" t="s">
        <v>121</v>
      </c>
      <c r="Q225" s="42" t="s">
        <v>167</v>
      </c>
    </row>
    <row r="226" spans="1:17" ht="12.75">
      <c r="A226" s="1">
        <v>218</v>
      </c>
      <c r="B226" s="1" t="s">
        <v>86</v>
      </c>
      <c r="C226" s="1" t="s">
        <v>24</v>
      </c>
      <c r="D226" s="1">
        <v>2067</v>
      </c>
      <c r="E226" s="1" t="s">
        <v>38</v>
      </c>
      <c r="F226" s="1" t="s">
        <v>40</v>
      </c>
      <c r="G226" s="23" t="s">
        <v>90</v>
      </c>
      <c r="H226" s="23" t="s">
        <v>51</v>
      </c>
      <c r="I226" s="23" t="s">
        <v>51</v>
      </c>
      <c r="J226" s="23" t="s">
        <v>51</v>
      </c>
      <c r="K226" s="23" t="s">
        <v>51</v>
      </c>
      <c r="L226" s="23" t="s">
        <v>51</v>
      </c>
      <c r="M226" s="23" t="s">
        <v>51</v>
      </c>
      <c r="N226" s="23" t="s">
        <v>51</v>
      </c>
      <c r="O226" s="23" t="s">
        <v>51</v>
      </c>
      <c r="P226" s="21" t="s">
        <v>121</v>
      </c>
      <c r="Q226" s="42" t="s">
        <v>51</v>
      </c>
    </row>
    <row r="227" spans="1:17" ht="12.75">
      <c r="A227" s="1">
        <v>219</v>
      </c>
      <c r="B227" s="1" t="s">
        <v>82</v>
      </c>
      <c r="C227" s="1" t="s">
        <v>67</v>
      </c>
      <c r="D227" s="1">
        <v>854</v>
      </c>
      <c r="E227" s="1" t="s">
        <v>38</v>
      </c>
      <c r="F227" s="1" t="s">
        <v>54</v>
      </c>
      <c r="G227" s="23" t="s">
        <v>90</v>
      </c>
      <c r="H227" s="23" t="s">
        <v>51</v>
      </c>
      <c r="I227" s="23" t="s">
        <v>51</v>
      </c>
      <c r="J227" s="23" t="s">
        <v>51</v>
      </c>
      <c r="K227" s="23" t="s">
        <v>51</v>
      </c>
      <c r="L227" s="23" t="s">
        <v>51</v>
      </c>
      <c r="M227" s="23" t="s">
        <v>51</v>
      </c>
      <c r="N227" s="23" t="s">
        <v>51</v>
      </c>
      <c r="O227" s="23" t="s">
        <v>51</v>
      </c>
      <c r="P227" s="21" t="s">
        <v>51</v>
      </c>
      <c r="Q227" s="42" t="s">
        <v>51</v>
      </c>
    </row>
    <row r="228" spans="1:17" ht="12.75">
      <c r="A228" s="1">
        <v>220</v>
      </c>
      <c r="B228" s="1" t="s">
        <v>82</v>
      </c>
      <c r="C228" s="1" t="s">
        <v>56</v>
      </c>
      <c r="D228" s="1">
        <v>636</v>
      </c>
      <c r="E228" s="1" t="s">
        <v>38</v>
      </c>
      <c r="F228" s="1" t="s">
        <v>54</v>
      </c>
      <c r="G228" s="23" t="s">
        <v>90</v>
      </c>
      <c r="H228" s="23" t="s">
        <v>47</v>
      </c>
      <c r="I228" s="23" t="s">
        <v>100</v>
      </c>
      <c r="J228" s="23" t="s">
        <v>51</v>
      </c>
      <c r="K228" s="23" t="s">
        <v>51</v>
      </c>
      <c r="L228" s="23" t="s">
        <v>51</v>
      </c>
      <c r="M228" s="23" t="s">
        <v>51</v>
      </c>
      <c r="N228" s="23" t="s">
        <v>51</v>
      </c>
      <c r="O228" s="23" t="s">
        <v>51</v>
      </c>
      <c r="P228" s="21" t="s">
        <v>51</v>
      </c>
      <c r="Q228" s="42" t="s">
        <v>51</v>
      </c>
    </row>
    <row r="229" spans="1:17" ht="12.75">
      <c r="A229" s="1">
        <v>221</v>
      </c>
      <c r="B229" s="1" t="s">
        <v>88</v>
      </c>
      <c r="C229" s="1" t="s">
        <v>5</v>
      </c>
      <c r="D229" s="1">
        <v>3356</v>
      </c>
      <c r="E229" s="1" t="s">
        <v>38</v>
      </c>
      <c r="F229" s="1" t="s">
        <v>40</v>
      </c>
      <c r="G229" s="23" t="s">
        <v>90</v>
      </c>
      <c r="H229" s="23" t="s">
        <v>51</v>
      </c>
      <c r="I229" s="23" t="s">
        <v>51</v>
      </c>
      <c r="J229" s="23" t="s">
        <v>51</v>
      </c>
      <c r="K229" s="23" t="s">
        <v>51</v>
      </c>
      <c r="L229" s="23" t="s">
        <v>51</v>
      </c>
      <c r="M229" s="23" t="s">
        <v>51</v>
      </c>
      <c r="N229" s="23" t="s">
        <v>51</v>
      </c>
      <c r="O229" s="23" t="s">
        <v>51</v>
      </c>
      <c r="P229" s="21" t="s">
        <v>51</v>
      </c>
      <c r="Q229" s="42" t="s">
        <v>51</v>
      </c>
    </row>
    <row r="230" spans="1:17" ht="12.75">
      <c r="A230" s="1">
        <v>222</v>
      </c>
      <c r="B230" s="1" t="s">
        <v>39</v>
      </c>
      <c r="C230" s="1" t="s">
        <v>59</v>
      </c>
      <c r="D230" s="1">
        <v>1953</v>
      </c>
      <c r="E230" s="1" t="s">
        <v>38</v>
      </c>
      <c r="F230" s="1" t="s">
        <v>42</v>
      </c>
      <c r="G230" s="23" t="s">
        <v>90</v>
      </c>
      <c r="H230" s="23" t="s">
        <v>47</v>
      </c>
      <c r="I230" s="23" t="s">
        <v>100</v>
      </c>
      <c r="J230" s="23" t="s">
        <v>101</v>
      </c>
      <c r="K230" s="23" t="s">
        <v>108</v>
      </c>
      <c r="L230" s="21" t="s">
        <v>51</v>
      </c>
      <c r="M230" s="21" t="s">
        <v>51</v>
      </c>
      <c r="N230" s="21" t="s">
        <v>51</v>
      </c>
      <c r="O230" s="21" t="s">
        <v>51</v>
      </c>
      <c r="P230" s="21" t="s">
        <v>51</v>
      </c>
      <c r="Q230" s="42" t="s">
        <v>51</v>
      </c>
    </row>
    <row r="231" spans="1:17" ht="12.75">
      <c r="A231" s="1">
        <v>223</v>
      </c>
      <c r="B231" s="1" t="s">
        <v>39</v>
      </c>
      <c r="C231" s="1" t="s">
        <v>24</v>
      </c>
      <c r="D231" s="1">
        <v>2434</v>
      </c>
      <c r="E231" s="1" t="s">
        <v>38</v>
      </c>
      <c r="F231" s="1" t="s">
        <v>42</v>
      </c>
      <c r="G231" s="23" t="s">
        <v>90</v>
      </c>
      <c r="H231" s="23" t="s">
        <v>47</v>
      </c>
      <c r="I231" s="23" t="s">
        <v>100</v>
      </c>
      <c r="J231" s="23" t="s">
        <v>101</v>
      </c>
      <c r="K231" s="23" t="s">
        <v>108</v>
      </c>
      <c r="L231" s="21" t="s">
        <v>51</v>
      </c>
      <c r="M231" s="21" t="s">
        <v>51</v>
      </c>
      <c r="N231" s="21" t="s">
        <v>51</v>
      </c>
      <c r="O231" s="21" t="s">
        <v>51</v>
      </c>
      <c r="P231" s="21" t="s">
        <v>118</v>
      </c>
      <c r="Q231" s="42" t="s">
        <v>123</v>
      </c>
    </row>
    <row r="232" spans="1:17" ht="12.75">
      <c r="A232" s="1">
        <v>224</v>
      </c>
      <c r="B232" s="1" t="s">
        <v>103</v>
      </c>
      <c r="C232" s="1" t="s">
        <v>24</v>
      </c>
      <c r="D232" s="1">
        <v>1646</v>
      </c>
      <c r="E232" s="1" t="s">
        <v>38</v>
      </c>
      <c r="F232" s="1" t="s">
        <v>42</v>
      </c>
      <c r="G232" s="23" t="s">
        <v>90</v>
      </c>
      <c r="H232" s="23" t="s">
        <v>47</v>
      </c>
      <c r="I232" s="23" t="s">
        <v>100</v>
      </c>
      <c r="J232" s="23" t="s">
        <v>101</v>
      </c>
      <c r="K232" s="23" t="s">
        <v>108</v>
      </c>
      <c r="L232" s="21" t="s">
        <v>51</v>
      </c>
      <c r="M232" s="21" t="s">
        <v>51</v>
      </c>
      <c r="N232" s="21" t="s">
        <v>51</v>
      </c>
      <c r="O232" s="21" t="s">
        <v>51</v>
      </c>
      <c r="P232" s="21" t="s">
        <v>122</v>
      </c>
      <c r="Q232" s="42" t="s">
        <v>51</v>
      </c>
    </row>
    <row r="233" spans="1:17" ht="12.75">
      <c r="A233" s="1">
        <v>225</v>
      </c>
      <c r="B233" s="1" t="s">
        <v>79</v>
      </c>
      <c r="C233" s="1" t="s">
        <v>5</v>
      </c>
      <c r="D233" s="1">
        <v>3570</v>
      </c>
      <c r="E233" s="1" t="s">
        <v>38</v>
      </c>
      <c r="F233" s="1" t="s">
        <v>87</v>
      </c>
      <c r="G233" s="23" t="s">
        <v>90</v>
      </c>
      <c r="H233" s="17" t="s">
        <v>47</v>
      </c>
      <c r="I233" s="17" t="s">
        <v>100</v>
      </c>
      <c r="J233" s="17" t="s">
        <v>51</v>
      </c>
      <c r="K233" s="17" t="s">
        <v>51</v>
      </c>
      <c r="L233" s="17" t="s">
        <v>51</v>
      </c>
      <c r="M233" s="17" t="s">
        <v>51</v>
      </c>
      <c r="N233" s="17" t="s">
        <v>51</v>
      </c>
      <c r="O233" s="17" t="s">
        <v>51</v>
      </c>
      <c r="P233" s="21" t="s">
        <v>51</v>
      </c>
      <c r="Q233" s="42" t="s">
        <v>51</v>
      </c>
    </row>
    <row r="234" spans="1:17" ht="12.75">
      <c r="A234" s="1">
        <v>226</v>
      </c>
      <c r="B234" s="1" t="s">
        <v>124</v>
      </c>
      <c r="C234" s="1" t="s">
        <v>27</v>
      </c>
      <c r="D234" s="1">
        <v>279</v>
      </c>
      <c r="E234" s="1" t="s">
        <v>38</v>
      </c>
      <c r="F234" s="1" t="s">
        <v>40</v>
      </c>
      <c r="G234" s="23" t="s">
        <v>90</v>
      </c>
      <c r="H234" s="21" t="s">
        <v>51</v>
      </c>
      <c r="I234" s="21" t="s">
        <v>51</v>
      </c>
      <c r="J234" s="21" t="s">
        <v>51</v>
      </c>
      <c r="K234" s="21" t="s">
        <v>51</v>
      </c>
      <c r="L234" s="21" t="s">
        <v>51</v>
      </c>
      <c r="M234" s="21" t="s">
        <v>51</v>
      </c>
      <c r="N234" s="21" t="s">
        <v>51</v>
      </c>
      <c r="O234" s="21" t="s">
        <v>51</v>
      </c>
      <c r="P234" s="21" t="s">
        <v>51</v>
      </c>
      <c r="Q234" s="42" t="s">
        <v>51</v>
      </c>
    </row>
    <row r="235" spans="1:17" ht="12.75">
      <c r="A235" s="1">
        <v>227</v>
      </c>
      <c r="B235" s="1" t="s">
        <v>146</v>
      </c>
      <c r="C235" s="1" t="s">
        <v>24</v>
      </c>
      <c r="D235" s="1" t="s">
        <v>147</v>
      </c>
      <c r="E235" s="1" t="s">
        <v>38</v>
      </c>
      <c r="F235" s="1" t="s">
        <v>40</v>
      </c>
      <c r="G235" s="23" t="s">
        <v>90</v>
      </c>
      <c r="H235" s="17" t="s">
        <v>47</v>
      </c>
      <c r="I235" s="15" t="s">
        <v>100</v>
      </c>
      <c r="J235" s="15" t="s">
        <v>148</v>
      </c>
      <c r="K235" s="15" t="s">
        <v>101</v>
      </c>
      <c r="L235" s="15" t="s">
        <v>149</v>
      </c>
      <c r="M235" s="15" t="s">
        <v>150</v>
      </c>
      <c r="N235" s="15" t="s">
        <v>151</v>
      </c>
      <c r="O235" s="15" t="s">
        <v>152</v>
      </c>
      <c r="P235" s="15" t="s">
        <v>153</v>
      </c>
      <c r="Q235" s="41" t="s">
        <v>169</v>
      </c>
    </row>
    <row r="236" spans="1:17" ht="12.75">
      <c r="A236" s="1">
        <v>228</v>
      </c>
      <c r="B236" s="1" t="s">
        <v>146</v>
      </c>
      <c r="C236" s="1" t="s">
        <v>24</v>
      </c>
      <c r="D236" s="1" t="s">
        <v>154</v>
      </c>
      <c r="E236" s="1" t="s">
        <v>38</v>
      </c>
      <c r="F236" s="1" t="s">
        <v>40</v>
      </c>
      <c r="G236" s="21" t="s">
        <v>51</v>
      </c>
      <c r="H236" s="21"/>
      <c r="I236" s="21"/>
      <c r="J236" s="21" t="s">
        <v>51</v>
      </c>
      <c r="K236" s="21"/>
      <c r="L236" s="21"/>
      <c r="M236" s="21"/>
      <c r="N236" s="21"/>
      <c r="O236" s="21"/>
      <c r="P236" s="21" t="s">
        <v>153</v>
      </c>
      <c r="Q236" s="41" t="s">
        <v>169</v>
      </c>
    </row>
    <row r="237" spans="1:17" ht="12.75">
      <c r="A237" s="1">
        <v>229</v>
      </c>
      <c r="B237" s="1" t="s">
        <v>155</v>
      </c>
      <c r="C237" s="1" t="s">
        <v>24</v>
      </c>
      <c r="D237" s="1">
        <v>5058</v>
      </c>
      <c r="E237" s="1" t="s">
        <v>38</v>
      </c>
      <c r="F237" s="1" t="s">
        <v>40</v>
      </c>
      <c r="G237" s="17" t="s">
        <v>90</v>
      </c>
      <c r="H237" s="21" t="s">
        <v>51</v>
      </c>
      <c r="I237" s="21" t="s">
        <v>51</v>
      </c>
      <c r="J237" s="21" t="s">
        <v>51</v>
      </c>
      <c r="K237" s="21"/>
      <c r="L237" s="21"/>
      <c r="M237" s="21"/>
      <c r="N237" s="21"/>
      <c r="O237" s="21"/>
      <c r="P237" s="21" t="s">
        <v>156</v>
      </c>
      <c r="Q237" s="42"/>
    </row>
    <row r="238" spans="1:17" ht="12.75">
      <c r="A238" s="1">
        <v>230</v>
      </c>
      <c r="B238" s="1" t="s">
        <v>157</v>
      </c>
      <c r="C238" s="1" t="s">
        <v>24</v>
      </c>
      <c r="D238" s="1" t="s">
        <v>158</v>
      </c>
      <c r="E238" s="1" t="s">
        <v>38</v>
      </c>
      <c r="F238" s="1" t="s">
        <v>40</v>
      </c>
      <c r="G238" s="17" t="s">
        <v>90</v>
      </c>
      <c r="H238" s="21" t="s">
        <v>51</v>
      </c>
      <c r="I238" s="21" t="s">
        <v>51</v>
      </c>
      <c r="J238" s="21" t="s">
        <v>51</v>
      </c>
      <c r="K238" s="21"/>
      <c r="L238" s="21"/>
      <c r="M238" s="21"/>
      <c r="N238" s="21"/>
      <c r="O238" s="21"/>
      <c r="P238" s="21" t="s">
        <v>159</v>
      </c>
      <c r="Q238" s="42" t="s">
        <v>168</v>
      </c>
    </row>
    <row r="239" spans="1:17" ht="12.75">
      <c r="A239" s="1">
        <v>231</v>
      </c>
      <c r="B239" s="1" t="s">
        <v>160</v>
      </c>
      <c r="C239" s="1" t="s">
        <v>24</v>
      </c>
      <c r="D239" s="1" t="s">
        <v>161</v>
      </c>
      <c r="E239" s="1" t="s">
        <v>38</v>
      </c>
      <c r="F239" s="1" t="s">
        <v>40</v>
      </c>
      <c r="G239" s="21" t="s">
        <v>51</v>
      </c>
      <c r="H239" s="21" t="s">
        <v>51</v>
      </c>
      <c r="I239" s="21" t="s">
        <v>51</v>
      </c>
      <c r="J239" s="21" t="s">
        <v>51</v>
      </c>
      <c r="K239" s="21"/>
      <c r="L239" s="21"/>
      <c r="M239" s="21"/>
      <c r="N239" s="21"/>
      <c r="O239" s="21"/>
      <c r="P239" s="21" t="s">
        <v>159</v>
      </c>
      <c r="Q239" s="42" t="s">
        <v>168</v>
      </c>
    </row>
    <row r="240" spans="1:17" ht="12.75">
      <c r="A240" s="1">
        <v>232</v>
      </c>
      <c r="B240" s="1" t="s">
        <v>162</v>
      </c>
      <c r="C240" s="1" t="s">
        <v>24</v>
      </c>
      <c r="D240" s="1" t="s">
        <v>163</v>
      </c>
      <c r="E240" s="1" t="s">
        <v>38</v>
      </c>
      <c r="F240" s="1" t="s">
        <v>40</v>
      </c>
      <c r="G240" s="17" t="s">
        <v>90</v>
      </c>
      <c r="H240" s="17" t="s">
        <v>47</v>
      </c>
      <c r="I240" s="17" t="s">
        <v>100</v>
      </c>
      <c r="J240" s="21" t="s">
        <v>51</v>
      </c>
      <c r="K240" s="21" t="s">
        <v>51</v>
      </c>
      <c r="L240" s="21" t="s">
        <v>51</v>
      </c>
      <c r="M240" s="21" t="s">
        <v>51</v>
      </c>
      <c r="N240" s="21" t="s">
        <v>51</v>
      </c>
      <c r="O240" s="21" t="s">
        <v>51</v>
      </c>
      <c r="P240" s="21" t="s">
        <v>164</v>
      </c>
      <c r="Q240" s="42" t="s">
        <v>51</v>
      </c>
    </row>
    <row r="241" spans="1:17" ht="12.75">
      <c r="A241" s="1">
        <v>233</v>
      </c>
      <c r="B241" s="1" t="s">
        <v>165</v>
      </c>
      <c r="C241" s="1" t="s">
        <v>76</v>
      </c>
      <c r="D241" s="1">
        <v>4366</v>
      </c>
      <c r="E241" s="1" t="s">
        <v>38</v>
      </c>
      <c r="F241" s="1" t="s">
        <v>42</v>
      </c>
      <c r="G241" s="17" t="s">
        <v>90</v>
      </c>
      <c r="H241" s="21" t="s">
        <v>51</v>
      </c>
      <c r="I241" s="21" t="s">
        <v>51</v>
      </c>
      <c r="J241" s="21" t="s">
        <v>51</v>
      </c>
      <c r="K241" s="21" t="s">
        <v>51</v>
      </c>
      <c r="L241" s="21" t="s">
        <v>51</v>
      </c>
      <c r="M241" s="21" t="s">
        <v>51</v>
      </c>
      <c r="N241" s="21" t="s">
        <v>51</v>
      </c>
      <c r="O241" s="21" t="s">
        <v>51</v>
      </c>
      <c r="P241" s="21" t="s">
        <v>51</v>
      </c>
      <c r="Q241" s="21" t="s">
        <v>51</v>
      </c>
    </row>
    <row r="242" spans="1:17" ht="12.75">
      <c r="A242" s="1">
        <v>234</v>
      </c>
      <c r="B242" s="1" t="s">
        <v>83</v>
      </c>
      <c r="C242" s="1" t="s">
        <v>24</v>
      </c>
      <c r="D242" s="1">
        <v>136</v>
      </c>
      <c r="E242" s="1" t="s">
        <v>38</v>
      </c>
      <c r="F242" s="1" t="s">
        <v>87</v>
      </c>
      <c r="G242" s="17" t="s">
        <v>90</v>
      </c>
      <c r="H242" s="17" t="s">
        <v>47</v>
      </c>
      <c r="I242" s="17" t="s">
        <v>100</v>
      </c>
      <c r="J242" s="21" t="s">
        <v>51</v>
      </c>
      <c r="K242" s="21" t="s">
        <v>51</v>
      </c>
      <c r="L242" s="21" t="s">
        <v>51</v>
      </c>
      <c r="M242" s="21" t="s">
        <v>51</v>
      </c>
      <c r="N242" s="21" t="s">
        <v>51</v>
      </c>
      <c r="O242" s="21" t="s">
        <v>51</v>
      </c>
      <c r="P242" s="21" t="s">
        <v>115</v>
      </c>
      <c r="Q242" s="42"/>
    </row>
    <row r="243" spans="1:17" ht="12.75">
      <c r="A243" s="1">
        <v>235</v>
      </c>
      <c r="B243" s="1" t="s">
        <v>83</v>
      </c>
      <c r="C243" s="1" t="s">
        <v>24</v>
      </c>
      <c r="D243" s="1">
        <v>156</v>
      </c>
      <c r="E243" s="1" t="s">
        <v>38</v>
      </c>
      <c r="F243" s="1" t="s">
        <v>87</v>
      </c>
      <c r="G243" s="17" t="s">
        <v>90</v>
      </c>
      <c r="H243" s="17" t="s">
        <v>47</v>
      </c>
      <c r="I243" s="17" t="s">
        <v>100</v>
      </c>
      <c r="J243" s="21" t="s">
        <v>101</v>
      </c>
      <c r="K243" s="21" t="s">
        <v>108</v>
      </c>
      <c r="L243" s="21" t="s">
        <v>51</v>
      </c>
      <c r="M243" s="21" t="s">
        <v>51</v>
      </c>
      <c r="N243" s="21" t="s">
        <v>51</v>
      </c>
      <c r="O243" s="21" t="s">
        <v>51</v>
      </c>
      <c r="P243" s="21" t="s">
        <v>115</v>
      </c>
      <c r="Q243" s="42"/>
    </row>
    <row r="244" spans="1:17" ht="12.75">
      <c r="A244" s="1">
        <v>236</v>
      </c>
      <c r="B244" s="1" t="s">
        <v>165</v>
      </c>
      <c r="C244" s="1" t="s">
        <v>76</v>
      </c>
      <c r="D244" s="1">
        <v>4365</v>
      </c>
      <c r="E244" s="1" t="s">
        <v>38</v>
      </c>
      <c r="F244" s="1" t="s">
        <v>42</v>
      </c>
      <c r="G244" s="17" t="s">
        <v>90</v>
      </c>
      <c r="H244" s="17" t="s">
        <v>47</v>
      </c>
      <c r="I244" s="17" t="s">
        <v>100</v>
      </c>
      <c r="J244" s="21" t="s">
        <v>101</v>
      </c>
      <c r="K244" s="21" t="s">
        <v>108</v>
      </c>
      <c r="L244" s="21" t="s">
        <v>51</v>
      </c>
      <c r="M244" s="21" t="s">
        <v>51</v>
      </c>
      <c r="N244" s="21" t="s">
        <v>51</v>
      </c>
      <c r="O244" s="21" t="s">
        <v>51</v>
      </c>
      <c r="Q244" t="s">
        <v>51</v>
      </c>
    </row>
    <row r="245" spans="1:17" ht="12.75">
      <c r="A245" s="1">
        <v>237</v>
      </c>
      <c r="B245" s="1" t="s">
        <v>83</v>
      </c>
      <c r="C245" s="1" t="s">
        <v>67</v>
      </c>
      <c r="D245" s="1">
        <v>3131</v>
      </c>
      <c r="E245" s="1" t="s">
        <v>38</v>
      </c>
      <c r="F245" s="1" t="s">
        <v>87</v>
      </c>
      <c r="G245" s="17" t="s">
        <v>90</v>
      </c>
      <c r="H245" s="15" t="s">
        <v>47</v>
      </c>
      <c r="I245" s="15" t="s">
        <v>100</v>
      </c>
      <c r="J245" s="21" t="s">
        <v>51</v>
      </c>
      <c r="K245" s="21" t="s">
        <v>51</v>
      </c>
      <c r="L245" s="21" t="s">
        <v>51</v>
      </c>
      <c r="M245" s="21" t="s">
        <v>51</v>
      </c>
      <c r="N245" s="21" t="s">
        <v>51</v>
      </c>
      <c r="O245" s="21" t="s">
        <v>51</v>
      </c>
      <c r="Q245" t="s">
        <v>51</v>
      </c>
    </row>
    <row r="246" spans="1:17" ht="12.75">
      <c r="A246" s="1">
        <v>238</v>
      </c>
      <c r="B246" s="1" t="s">
        <v>103</v>
      </c>
      <c r="C246" s="1" t="s">
        <v>59</v>
      </c>
      <c r="D246" s="1">
        <v>145</v>
      </c>
      <c r="E246" s="1" t="s">
        <v>38</v>
      </c>
      <c r="F246" s="1" t="s">
        <v>42</v>
      </c>
      <c r="G246" s="17" t="s">
        <v>90</v>
      </c>
      <c r="H246" s="15" t="s">
        <v>47</v>
      </c>
      <c r="I246" s="15" t="s">
        <v>100</v>
      </c>
      <c r="J246" s="21" t="s">
        <v>101</v>
      </c>
      <c r="K246" s="21" t="s">
        <v>108</v>
      </c>
      <c r="L246" s="21" t="s">
        <v>51</v>
      </c>
      <c r="M246" s="21" t="s">
        <v>51</v>
      </c>
      <c r="N246" s="21" t="s">
        <v>51</v>
      </c>
      <c r="O246" s="21" t="s">
        <v>51</v>
      </c>
      <c r="P246" t="s">
        <v>51</v>
      </c>
      <c r="Q246" t="s">
        <v>51</v>
      </c>
    </row>
    <row r="247" spans="1:17" ht="12.75">
      <c r="A247" s="1">
        <v>239</v>
      </c>
      <c r="B247" s="1" t="s">
        <v>175</v>
      </c>
      <c r="C247" s="1" t="s">
        <v>24</v>
      </c>
      <c r="D247" s="1">
        <v>453</v>
      </c>
      <c r="E247" s="1" t="s">
        <v>38</v>
      </c>
      <c r="F247" s="1" t="s">
        <v>42</v>
      </c>
      <c r="G247" s="17" t="s">
        <v>90</v>
      </c>
      <c r="H247" s="15" t="s">
        <v>47</v>
      </c>
      <c r="I247" s="15" t="s">
        <v>100</v>
      </c>
      <c r="J247" s="21" t="s">
        <v>101</v>
      </c>
      <c r="K247" s="21" t="s">
        <v>108</v>
      </c>
      <c r="L247" s="21" t="s">
        <v>51</v>
      </c>
      <c r="M247" s="21" t="s">
        <v>51</v>
      </c>
      <c r="N247" s="21" t="s">
        <v>51</v>
      </c>
      <c r="O247" s="21" t="s">
        <v>51</v>
      </c>
      <c r="P247" t="s">
        <v>176</v>
      </c>
      <c r="Q247" t="s">
        <v>123</v>
      </c>
    </row>
    <row r="248" spans="1:17" ht="12.75">
      <c r="A248" s="1">
        <v>240</v>
      </c>
      <c r="B248" s="1" t="s">
        <v>175</v>
      </c>
      <c r="C248" s="1" t="s">
        <v>24</v>
      </c>
      <c r="D248" s="1">
        <v>437</v>
      </c>
      <c r="E248" s="1" t="s">
        <v>38</v>
      </c>
      <c r="F248" s="1" t="s">
        <v>42</v>
      </c>
      <c r="G248" s="17" t="s">
        <v>90</v>
      </c>
      <c r="H248" s="15" t="s">
        <v>47</v>
      </c>
      <c r="I248" s="15" t="s">
        <v>100</v>
      </c>
      <c r="J248" s="21" t="s">
        <v>101</v>
      </c>
      <c r="K248" s="21" t="s">
        <v>108</v>
      </c>
      <c r="L248" s="21" t="s">
        <v>51</v>
      </c>
      <c r="M248" s="21" t="s">
        <v>51</v>
      </c>
      <c r="N248" s="21" t="s">
        <v>51</v>
      </c>
      <c r="O248" s="21" t="s">
        <v>51</v>
      </c>
      <c r="P248" t="s">
        <v>176</v>
      </c>
      <c r="Q248" t="s">
        <v>123</v>
      </c>
    </row>
    <row r="249" spans="1:17" ht="12.75">
      <c r="A249" s="1">
        <v>241</v>
      </c>
      <c r="B249" s="1" t="s">
        <v>177</v>
      </c>
      <c r="C249" s="1" t="s">
        <v>24</v>
      </c>
      <c r="D249" s="1">
        <v>766</v>
      </c>
      <c r="E249" s="1" t="s">
        <v>38</v>
      </c>
      <c r="F249" s="1" t="s">
        <v>42</v>
      </c>
      <c r="G249" s="17" t="s">
        <v>90</v>
      </c>
      <c r="H249" s="15" t="s">
        <v>47</v>
      </c>
      <c r="I249" s="15" t="s">
        <v>100</v>
      </c>
      <c r="J249" s="21" t="s">
        <v>101</v>
      </c>
      <c r="K249" s="21" t="s">
        <v>108</v>
      </c>
      <c r="L249" s="21" t="s">
        <v>51</v>
      </c>
      <c r="M249" s="21" t="s">
        <v>51</v>
      </c>
      <c r="N249" s="21" t="s">
        <v>51</v>
      </c>
      <c r="O249" s="21" t="s">
        <v>51</v>
      </c>
      <c r="P249" t="s">
        <v>178</v>
      </c>
      <c r="Q249" t="s">
        <v>123</v>
      </c>
    </row>
    <row r="250" spans="1:16" ht="12.75">
      <c r="A250" s="1">
        <v>242</v>
      </c>
      <c r="B250" s="1" t="s">
        <v>179</v>
      </c>
      <c r="C250" s="1" t="s">
        <v>24</v>
      </c>
      <c r="D250" s="1">
        <v>130</v>
      </c>
      <c r="E250" s="1" t="s">
        <v>38</v>
      </c>
      <c r="F250" s="1" t="s">
        <v>87</v>
      </c>
      <c r="G250" s="17" t="s">
        <v>90</v>
      </c>
      <c r="H250" s="15" t="s">
        <v>47</v>
      </c>
      <c r="I250" s="15" t="s">
        <v>100</v>
      </c>
      <c r="J250" s="21" t="s">
        <v>101</v>
      </c>
      <c r="K250" s="21" t="s">
        <v>108</v>
      </c>
      <c r="L250" s="21" t="s">
        <v>51</v>
      </c>
      <c r="M250" s="21" t="s">
        <v>51</v>
      </c>
      <c r="N250" s="21" t="s">
        <v>51</v>
      </c>
      <c r="O250" s="21" t="s">
        <v>51</v>
      </c>
      <c r="P250" t="s">
        <v>180</v>
      </c>
    </row>
    <row r="251" spans="1:6" ht="12.75">
      <c r="A251" s="1">
        <v>243</v>
      </c>
      <c r="B251" s="1"/>
      <c r="C251" s="1"/>
      <c r="D251" s="1"/>
      <c r="E251" s="1"/>
      <c r="F251" s="1"/>
    </row>
    <row r="252" spans="1:6" ht="12.75">
      <c r="A252" s="1">
        <v>244</v>
      </c>
      <c r="B252" s="1"/>
      <c r="C252" s="1"/>
      <c r="D252" s="1"/>
      <c r="E252" s="1"/>
      <c r="F252" s="1"/>
    </row>
    <row r="253" spans="1:6" ht="12.75">
      <c r="A253" s="1">
        <v>245</v>
      </c>
      <c r="B253" s="1"/>
      <c r="C253" s="1"/>
      <c r="D253" s="1"/>
      <c r="E253" s="1"/>
      <c r="F253" s="1"/>
    </row>
    <row r="254" spans="1:6" ht="12.75">
      <c r="A254" s="1">
        <v>246</v>
      </c>
      <c r="B254" s="1"/>
      <c r="C254" s="1"/>
      <c r="D254" s="1"/>
      <c r="E254" s="1"/>
      <c r="F254" s="1"/>
    </row>
    <row r="255" spans="1:6" ht="12.75">
      <c r="A255" s="1">
        <v>247</v>
      </c>
      <c r="B255" s="1"/>
      <c r="C255" s="1"/>
      <c r="D255" s="1"/>
      <c r="E255" s="1"/>
      <c r="F255" s="1"/>
    </row>
    <row r="256" spans="1:6" ht="12.75">
      <c r="A256" s="1">
        <v>248</v>
      </c>
      <c r="B256" s="1"/>
      <c r="C256" s="1"/>
      <c r="D256" s="1"/>
      <c r="E256" s="1"/>
      <c r="F256" s="1"/>
    </row>
    <row r="257" spans="1:6" ht="12.75">
      <c r="A257" s="1">
        <v>249</v>
      </c>
      <c r="B257" s="1"/>
      <c r="C257" s="1"/>
      <c r="D257" s="1"/>
      <c r="E257" s="1"/>
      <c r="F257" s="1"/>
    </row>
    <row r="258" spans="1:6" ht="12.75">
      <c r="A258" s="1">
        <v>250</v>
      </c>
      <c r="B258" s="1"/>
      <c r="C258" s="1"/>
      <c r="D258" s="1"/>
      <c r="E258" s="1"/>
      <c r="F258" s="1"/>
    </row>
    <row r="259" spans="1:6" ht="12.75">
      <c r="A259" s="1">
        <v>251</v>
      </c>
      <c r="B259" s="1"/>
      <c r="C259" s="1"/>
      <c r="D259" s="1"/>
      <c r="E259" s="1"/>
      <c r="F259" s="1"/>
    </row>
    <row r="260" spans="1:6" ht="12.75">
      <c r="A260" s="1">
        <v>252</v>
      </c>
      <c r="B260" s="1"/>
      <c r="C260" s="1"/>
      <c r="D260" s="1"/>
      <c r="E260" s="1"/>
      <c r="F260" s="1"/>
    </row>
    <row r="261" spans="1:6" ht="12.75">
      <c r="A261" s="1">
        <v>253</v>
      </c>
      <c r="B261" s="1"/>
      <c r="C261" s="1"/>
      <c r="D261" s="1"/>
      <c r="E261" s="1"/>
      <c r="F261" s="1"/>
    </row>
    <row r="262" spans="1:6" ht="12.75">
      <c r="A262" s="1">
        <v>254</v>
      </c>
      <c r="B262" s="1"/>
      <c r="C262" s="1"/>
      <c r="D262" s="1"/>
      <c r="E262" s="1"/>
      <c r="F262" s="1"/>
    </row>
    <row r="263" spans="1:6" ht="12.75">
      <c r="A263" s="1">
        <v>255</v>
      </c>
      <c r="B263" s="1"/>
      <c r="C263" s="1"/>
      <c r="D263" s="1"/>
      <c r="E263" s="1"/>
      <c r="F263" s="1"/>
    </row>
    <row r="264" spans="1:6" ht="12.75">
      <c r="A264" s="1">
        <v>256</v>
      </c>
      <c r="B264" s="1"/>
      <c r="C264" s="1"/>
      <c r="D264" s="1"/>
      <c r="E264" s="1"/>
      <c r="F264" s="1"/>
    </row>
    <row r="265" spans="1:6" ht="12.75">
      <c r="A265" s="1">
        <v>257</v>
      </c>
      <c r="B265" s="1"/>
      <c r="C265" s="1"/>
      <c r="D265" s="1"/>
      <c r="E265" s="1"/>
      <c r="F265" s="1"/>
    </row>
    <row r="266" spans="1:6" ht="12.75">
      <c r="A266" s="1">
        <v>258</v>
      </c>
      <c r="B266" s="1"/>
      <c r="C266" s="1"/>
      <c r="D266" s="1"/>
      <c r="E266" s="1"/>
      <c r="F266" s="1"/>
    </row>
    <row r="267" spans="1:6" ht="12.75">
      <c r="A267" s="1">
        <v>259</v>
      </c>
      <c r="B267" s="1"/>
      <c r="C267" s="1"/>
      <c r="D267" s="1"/>
      <c r="E267" s="1"/>
      <c r="F267" s="1"/>
    </row>
    <row r="268" spans="1:6" ht="12.75">
      <c r="A268" s="1">
        <v>260</v>
      </c>
      <c r="B268" s="1"/>
      <c r="C268" s="1"/>
      <c r="D268" s="1"/>
      <c r="E268" s="1"/>
      <c r="F268" s="1"/>
    </row>
    <row r="269" spans="1:6" ht="12.75">
      <c r="A269" s="1">
        <v>261</v>
      </c>
      <c r="B269" s="1"/>
      <c r="C269" s="1"/>
      <c r="D269" s="1"/>
      <c r="E269" s="1"/>
      <c r="F269" s="1"/>
    </row>
    <row r="270" spans="1:6" ht="12.75">
      <c r="A270" s="1">
        <v>262</v>
      </c>
      <c r="B270" s="1"/>
      <c r="C270" s="1"/>
      <c r="D270" s="1"/>
      <c r="E270" s="1"/>
      <c r="F270" s="1"/>
    </row>
    <row r="271" spans="1:6" ht="12.75">
      <c r="A271" s="1">
        <v>263</v>
      </c>
      <c r="B271" s="1"/>
      <c r="C271" s="1"/>
      <c r="D271" s="1"/>
      <c r="E271" s="1"/>
      <c r="F271" s="1"/>
    </row>
    <row r="272" spans="1:6" ht="12.75">
      <c r="A272" s="1">
        <v>264</v>
      </c>
      <c r="B272" s="1"/>
      <c r="C272" s="1"/>
      <c r="D272" s="1"/>
      <c r="E272" s="1"/>
      <c r="F272" s="1"/>
    </row>
    <row r="273" spans="1:6" ht="12.75">
      <c r="A273" s="1">
        <v>265</v>
      </c>
      <c r="B273" s="1"/>
      <c r="C273" s="1"/>
      <c r="D273" s="1"/>
      <c r="E273" s="1"/>
      <c r="F273" s="1"/>
    </row>
    <row r="274" spans="1:6" ht="12.75">
      <c r="A274" s="1">
        <v>266</v>
      </c>
      <c r="B274" s="1"/>
      <c r="C274" s="1"/>
      <c r="D274" s="1"/>
      <c r="E274" s="1"/>
      <c r="F274" s="1"/>
    </row>
    <row r="275" spans="1:6" ht="12.75">
      <c r="A275" s="1">
        <v>267</v>
      </c>
      <c r="B275" s="1"/>
      <c r="C275" s="1"/>
      <c r="D275" s="1"/>
      <c r="E275" s="1"/>
      <c r="F275" s="1"/>
    </row>
    <row r="276" spans="1:6" ht="12.75">
      <c r="A276" s="1">
        <v>268</v>
      </c>
      <c r="B276" s="1"/>
      <c r="C276" s="1"/>
      <c r="D276" s="1"/>
      <c r="E276" s="1"/>
      <c r="F276" s="1"/>
    </row>
    <row r="277" spans="1:6" ht="12.75">
      <c r="A277" s="1">
        <v>269</v>
      </c>
      <c r="B277" s="1"/>
      <c r="C277" s="1"/>
      <c r="D277" s="1"/>
      <c r="E277" s="1"/>
      <c r="F277" s="1"/>
    </row>
    <row r="278" spans="1:6" ht="12.75">
      <c r="A278" s="1">
        <v>270</v>
      </c>
      <c r="B278" s="1"/>
      <c r="C278" s="1"/>
      <c r="D278" s="1"/>
      <c r="E278" s="1"/>
      <c r="F278" s="1"/>
    </row>
    <row r="279" spans="1:9" ht="12.75">
      <c r="A279" s="1">
        <v>271</v>
      </c>
      <c r="B279" s="1"/>
      <c r="C279" s="1"/>
      <c r="D279" s="1"/>
      <c r="E279" s="1"/>
      <c r="F279" s="1"/>
      <c r="I279" s="21"/>
    </row>
    <row r="280" spans="1:6" ht="12.75">
      <c r="A280" s="1">
        <v>272</v>
      </c>
      <c r="B280" s="1"/>
      <c r="C280" s="1"/>
      <c r="D280" s="1"/>
      <c r="E280" s="1"/>
      <c r="F280" s="1"/>
    </row>
    <row r="281" spans="1:6" ht="12.75">
      <c r="A281" s="1">
        <v>273</v>
      </c>
      <c r="B281" s="1"/>
      <c r="C281" s="1"/>
      <c r="D281" s="1"/>
      <c r="E281" s="1"/>
      <c r="F281" s="1"/>
    </row>
    <row r="282" spans="1:6" ht="12.75">
      <c r="A282" s="1">
        <v>274</v>
      </c>
      <c r="B282" s="1"/>
      <c r="C282" s="1"/>
      <c r="D282" s="1"/>
      <c r="E282" s="1"/>
      <c r="F282" s="1"/>
    </row>
    <row r="283" spans="1:6" ht="12.75">
      <c r="A283" s="1">
        <v>275</v>
      </c>
      <c r="B283" s="1"/>
      <c r="C283" s="1"/>
      <c r="D283" s="1"/>
      <c r="E283" s="1"/>
      <c r="F283" s="1"/>
    </row>
    <row r="284" spans="1:6" ht="12.75">
      <c r="A284" s="1">
        <v>276</v>
      </c>
      <c r="B284" s="1"/>
      <c r="C284" s="1"/>
      <c r="D284" s="1"/>
      <c r="E284" s="1"/>
      <c r="F284" s="1"/>
    </row>
    <row r="285" spans="1:6" ht="12.75">
      <c r="A285" s="1">
        <v>277</v>
      </c>
      <c r="B285" s="1"/>
      <c r="C285" s="1"/>
      <c r="D285" s="1"/>
      <c r="E285" s="1"/>
      <c r="F285" s="1"/>
    </row>
    <row r="286" spans="1:6" ht="12.75">
      <c r="A286" s="1">
        <v>278</v>
      </c>
      <c r="B286" s="1"/>
      <c r="C286" s="1"/>
      <c r="D286" s="1"/>
      <c r="E286" s="1"/>
      <c r="F286" s="1"/>
    </row>
    <row r="287" spans="1:6" ht="12.75">
      <c r="A287" s="1">
        <v>279</v>
      </c>
      <c r="B287" s="1"/>
      <c r="C287" s="1"/>
      <c r="D287" s="1"/>
      <c r="E287" s="1"/>
      <c r="F287" s="1"/>
    </row>
    <row r="288" spans="1:6" ht="12.75">
      <c r="A288" s="1">
        <v>280</v>
      </c>
      <c r="B288" s="1"/>
      <c r="C288" s="1"/>
      <c r="D288" s="1"/>
      <c r="E288" s="1"/>
      <c r="F288" s="1"/>
    </row>
    <row r="289" spans="1:6" ht="12.75">
      <c r="A289" s="1">
        <v>281</v>
      </c>
      <c r="B289" s="1"/>
      <c r="C289" s="1"/>
      <c r="D289" s="1"/>
      <c r="E289" s="1"/>
      <c r="F289" s="1"/>
    </row>
    <row r="290" spans="1:6" ht="12.75">
      <c r="A290" s="1">
        <v>282</v>
      </c>
      <c r="B290" s="1"/>
      <c r="C290" s="1"/>
      <c r="D290" s="1"/>
      <c r="E290" s="1"/>
      <c r="F290" s="1"/>
    </row>
    <row r="291" spans="1:6" ht="12.75">
      <c r="A291" s="1">
        <v>283</v>
      </c>
      <c r="B291" s="1"/>
      <c r="C291" s="1"/>
      <c r="D291" s="1"/>
      <c r="E291" s="1"/>
      <c r="F291" s="1"/>
    </row>
    <row r="292" spans="1:6" ht="12.75">
      <c r="A292" s="1">
        <v>284</v>
      </c>
      <c r="B292" s="1"/>
      <c r="C292" s="1"/>
      <c r="D292" s="1"/>
      <c r="E292" s="1"/>
      <c r="F292" s="1"/>
    </row>
    <row r="293" spans="1:6" ht="12.75">
      <c r="A293" s="1">
        <v>285</v>
      </c>
      <c r="B293" s="1"/>
      <c r="C293" s="1"/>
      <c r="D293" s="1"/>
      <c r="E293" s="1"/>
      <c r="F293" s="1"/>
    </row>
    <row r="294" spans="1:6" ht="12.75">
      <c r="A294" s="1">
        <v>286</v>
      </c>
      <c r="B294" s="1"/>
      <c r="C294" s="1"/>
      <c r="D294" s="1"/>
      <c r="E294" s="1"/>
      <c r="F294" s="1"/>
    </row>
    <row r="295" spans="1:6" ht="12.75">
      <c r="A295" s="1">
        <v>287</v>
      </c>
      <c r="B295" s="1"/>
      <c r="C295" s="1"/>
      <c r="D295" s="1"/>
      <c r="E295" s="1"/>
      <c r="F295" s="1"/>
    </row>
    <row r="296" spans="1:6" ht="12.75">
      <c r="A296" s="1">
        <v>288</v>
      </c>
      <c r="B296" s="1"/>
      <c r="C296" s="1"/>
      <c r="D296" s="1"/>
      <c r="E296" s="1"/>
      <c r="F296" s="1"/>
    </row>
    <row r="297" spans="1:6" ht="12.75">
      <c r="A297" s="1">
        <v>289</v>
      </c>
      <c r="B297" s="1"/>
      <c r="C297" s="1"/>
      <c r="D297" s="1"/>
      <c r="E297" s="1"/>
      <c r="F297" s="1"/>
    </row>
    <row r="298" spans="1:6" ht="12.75">
      <c r="A298" s="1">
        <v>290</v>
      </c>
      <c r="B298" s="1"/>
      <c r="C298" s="1"/>
      <c r="D298" s="1"/>
      <c r="E298" s="1"/>
      <c r="F298" s="1"/>
    </row>
    <row r="299" spans="1:6" ht="12.75">
      <c r="A299" s="1">
        <v>291</v>
      </c>
      <c r="B299" s="1"/>
      <c r="C299" s="1"/>
      <c r="D299" s="1"/>
      <c r="E299" s="1"/>
      <c r="F299" s="1"/>
    </row>
    <row r="300" spans="1:6" ht="12.75">
      <c r="A300" s="1">
        <v>292</v>
      </c>
      <c r="B300" s="1"/>
      <c r="C300" s="1"/>
      <c r="D300" s="1"/>
      <c r="E300" s="1"/>
      <c r="F300" s="1"/>
    </row>
    <row r="301" spans="1:6" ht="12.75">
      <c r="A301" s="1">
        <v>293</v>
      </c>
      <c r="B301" s="1"/>
      <c r="C301" s="1"/>
      <c r="D301" s="1"/>
      <c r="E301" s="1"/>
      <c r="F301" s="1"/>
    </row>
    <row r="302" spans="1:6" ht="12.75">
      <c r="A302" s="1">
        <v>294</v>
      </c>
      <c r="B302" s="1"/>
      <c r="C302" s="1"/>
      <c r="D302" s="1"/>
      <c r="E302" s="1"/>
      <c r="F302" s="1"/>
    </row>
    <row r="303" spans="1:6" ht="12.75">
      <c r="A303" s="1">
        <v>295</v>
      </c>
      <c r="B303" s="1"/>
      <c r="C303" s="1"/>
      <c r="D303" s="1"/>
      <c r="E303" s="1"/>
      <c r="F303" s="1"/>
    </row>
    <row r="304" spans="1:6" ht="12.75">
      <c r="A304" s="1">
        <v>296</v>
      </c>
      <c r="B304" s="1"/>
      <c r="C304" s="1"/>
      <c r="D304" s="1"/>
      <c r="E304" s="1"/>
      <c r="F304" s="1"/>
    </row>
    <row r="305" spans="1:6" ht="12.75">
      <c r="A305" s="1">
        <v>297</v>
      </c>
      <c r="B305" s="1"/>
      <c r="C305" s="1"/>
      <c r="D305" s="1"/>
      <c r="E305" s="1"/>
      <c r="F305" s="1"/>
    </row>
    <row r="306" spans="1:6" ht="12.75">
      <c r="A306" s="1">
        <v>298</v>
      </c>
      <c r="B306" s="1"/>
      <c r="C306" s="1"/>
      <c r="D306" s="1"/>
      <c r="E306" s="1"/>
      <c r="F306" s="1"/>
    </row>
    <row r="307" spans="1:6" ht="12.75">
      <c r="A307" s="1">
        <v>299</v>
      </c>
      <c r="B307" s="1"/>
      <c r="C307" s="1"/>
      <c r="D307" s="1"/>
      <c r="E307" s="1"/>
      <c r="F307" s="1"/>
    </row>
    <row r="308" spans="1:6" ht="12.75">
      <c r="A308" s="1">
        <v>300</v>
      </c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</sheetData>
  <sheetProtection/>
  <autoFilter ref="A8:F308"/>
  <printOptions/>
  <pageMargins left="0.75" right="0.75" top="1" bottom="1" header="0.5" footer="0.5"/>
  <pageSetup horizontalDpi="600" verticalDpi="600" orientation="portrait" paperSize="9" r:id="rId1"/>
  <ignoredErrors>
    <ignoredError sqref="B208 B217" twoDigitTextYear="1"/>
    <ignoredError sqref="D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2.7109375" style="0" customWidth="1"/>
    <col min="2" max="2" width="1.7109375" style="0" customWidth="1"/>
    <col min="3" max="4" width="12.7109375" style="0" customWidth="1"/>
    <col min="5" max="5" width="1.7109375" style="0" customWidth="1"/>
    <col min="6" max="7" width="12.7109375" style="0" customWidth="1"/>
    <col min="8" max="8" width="1.7109375" style="0" customWidth="1"/>
    <col min="9" max="10" width="12.7109375" style="0" customWidth="1"/>
    <col min="11" max="11" width="1.7109375" style="0" customWidth="1"/>
    <col min="12" max="13" width="12.7109375" style="0" customWidth="1"/>
    <col min="14" max="14" width="1.7109375" style="0" customWidth="1"/>
    <col min="15" max="15" width="12.7109375" style="0" customWidth="1"/>
  </cols>
  <sheetData>
    <row r="1" spans="1:15" ht="24" customHeight="1">
      <c r="A1" s="24" t="str">
        <f>IF(ISERROR(MATCH(Card1,Cars!$A:$A,0)),"",VLOOKUP(Card1,Cars!$A:$F,2))</f>
        <v>XM</v>
      </c>
      <c r="B1" s="8"/>
      <c r="C1" s="25" t="str">
        <f>IF(ISERROR(MATCH(Card1,Cars!$A:$A,0)),"",VLOOKUP(Card1,Cars!$A:$F,3))</f>
        <v>MKT</v>
      </c>
      <c r="D1" s="26" t="str">
        <f>IF(ISERROR(MATCH(Card2,Cars!$A:$A,0)),"",VLOOKUP(Card2,Cars!$A:$F,2))</f>
        <v>XM</v>
      </c>
      <c r="E1" s="14"/>
      <c r="F1" s="26" t="str">
        <f>IF(ISERROR(MATCH(Card2,Cars!$A:$A,0)),"",VLOOKUP(Card2,Cars!$A:$F,3))</f>
        <v>ABOX</v>
      </c>
      <c r="G1" s="24" t="str">
        <f>IF(ISERROR(MATCH(Card3,Cars!$A:$A,0)),"",VLOOKUP(Card3,Cars!$A:$F,2))</f>
        <v>LO</v>
      </c>
      <c r="H1" s="14"/>
      <c r="I1" s="25" t="str">
        <f>IF(ISERROR(MATCH(Card3,Cars!$A:$A,0)),"",VLOOKUP(Card3,Cars!$A:$F,3))</f>
        <v>BN</v>
      </c>
      <c r="J1" s="26" t="str">
        <f>IF(ISERROR(MATCH(Card4,Cars!$A:$A,0)),"",VLOOKUP(Card4,Cars!$A:$F,2))</f>
        <v>XM</v>
      </c>
      <c r="K1" s="14"/>
      <c r="L1" s="26" t="str">
        <f>IF(ISERROR(MATCH(Card4,Cars!$A:$A,0)),"",VLOOKUP(Card4,Cars!$A:$F,3))</f>
        <v>BN</v>
      </c>
      <c r="M1" s="24">
        <f>IF(ISERROR(MATCH(Card5,Cars!$A:$A,0)),"",VLOOKUP(Card5,Cars!$A:$F,2))</f>
        <v>0</v>
      </c>
      <c r="N1" s="14"/>
      <c r="O1" s="25">
        <f>IF(ISERROR(MATCH(Card5,Cars!$A:$A,0)),"",VLOOKUP(Card5,Cars!$A:$F,3))</f>
        <v>0</v>
      </c>
    </row>
    <row r="2" spans="1:15" ht="17.25" customHeight="1">
      <c r="A2" s="20" t="str">
        <f>IF(ISERROR(MATCH(Card1,Cars!$A:$A,0)),"",VLOOKUP(Card1,Cars!$A:$F,5))</f>
        <v>Red</v>
      </c>
      <c r="B2" s="6"/>
      <c r="C2" s="44">
        <f>IF(ISERROR(MATCH(Card1,Cars!$A:$A,0)),"",VLOOKUP(Card1,Cars!$A:$F,4))</f>
        <v>2025</v>
      </c>
      <c r="D2" s="15" t="str">
        <f>IF(ISERROR(MATCH(Card2,Cars!$A:$A,0)),"",VLOOKUP(Card2,Cars!$A:$F,5))</f>
        <v>Yellow</v>
      </c>
      <c r="E2" s="16"/>
      <c r="F2" s="43">
        <f>IF(ISERROR(MATCH(Card2,Cars!$A:$A,0)),"",VLOOKUP(Card2,Cars!$A:$F,4))</f>
        <v>50504</v>
      </c>
      <c r="G2" s="17" t="str">
        <f>IF(ISERROR(MATCH(Card3,Cars!$A:$A,0)),"",VLOOKUP(Card3,Cars!$A:$F,5))</f>
        <v>Green</v>
      </c>
      <c r="H2" s="16"/>
      <c r="I2" s="44">
        <f>IF(ISERROR(MATCH(Card3,Cars!$A:$A,0)),"",VLOOKUP(Card3,Cars!$A:$F,4))</f>
        <v>459284</v>
      </c>
      <c r="J2" s="15" t="str">
        <f>IF(ISERROR(MATCH(Card4,Cars!$A:$A,0)),"",VLOOKUP(Card4,Cars!$A:$F,5))</f>
        <v>Green</v>
      </c>
      <c r="K2" s="16"/>
      <c r="L2" s="43">
        <f>IF(ISERROR(MATCH(Card4,Cars!$A:$A,0)),"",VLOOKUP(Card4,Cars!$A:$F,4))</f>
        <v>223493</v>
      </c>
      <c r="M2" s="17">
        <f>IF(ISERROR(MATCH(Card5,Cars!$A:$A,0)),"",VLOOKUP(Card5,Cars!$A:$F,5))</f>
        <v>0</v>
      </c>
      <c r="N2" s="16"/>
      <c r="O2" s="44">
        <f>IF(ISERROR(MATCH(Card5,Cars!$A:$A,0)),"",VLOOKUP(Card5,Cars!$A:$F,4))</f>
        <v>0</v>
      </c>
    </row>
    <row r="3" spans="1:15" ht="12.75" customHeight="1">
      <c r="A3" s="20" t="str">
        <f>IF(ISERROR(MATCH(Card1,Cars!$A:$A,0)),"",VLOOKUP(Card1,Cars!$A:$F,6))</f>
        <v>Boxcar</v>
      </c>
      <c r="B3" s="6"/>
      <c r="C3" s="44"/>
      <c r="D3" s="15" t="str">
        <f>IF(ISERROR(MATCH(Card2,Cars!$A:$A,0)),"",VLOOKUP(Card2,Cars!$A:$F,6))</f>
        <v>Boxcar</v>
      </c>
      <c r="E3" s="16"/>
      <c r="F3" s="43"/>
      <c r="G3" s="17" t="str">
        <f>IF(ISERROR(MATCH(Card3,Cars!$A:$A,0)),"",VLOOKUP(Card3,Cars!$A:$F,6))</f>
        <v>Covered Hopper</v>
      </c>
      <c r="H3" s="16"/>
      <c r="I3" s="44"/>
      <c r="J3" s="15" t="str">
        <f>IF(ISERROR(MATCH(Card4,Cars!$A:$A,0)),"",VLOOKUP(Card4,Cars!$A:$F,6))</f>
        <v>Boxcar</v>
      </c>
      <c r="K3" s="16"/>
      <c r="L3" s="43"/>
      <c r="M3" s="17">
        <f>IF(ISERROR(MATCH(Card5,Cars!$A:$A,0)),"",VLOOKUP(Card5,Cars!$A:$F,6))</f>
        <v>0</v>
      </c>
      <c r="N3" s="16"/>
      <c r="O3" s="44"/>
    </row>
    <row r="4" spans="1:15" ht="12.75" customHeight="1">
      <c r="A4" s="9"/>
      <c r="B4" s="6"/>
      <c r="C4" s="18"/>
      <c r="D4" s="16"/>
      <c r="E4" s="16"/>
      <c r="F4" s="16"/>
      <c r="G4" s="19"/>
      <c r="H4" s="16"/>
      <c r="I4" s="18"/>
      <c r="J4" s="16"/>
      <c r="K4" s="16"/>
      <c r="L4" s="16"/>
      <c r="M4" s="19"/>
      <c r="N4" s="16"/>
      <c r="O4" s="18"/>
    </row>
    <row r="5" spans="1:15" ht="12.75" customHeight="1">
      <c r="A5" s="9"/>
      <c r="B5" s="6"/>
      <c r="C5" s="10"/>
      <c r="G5" s="9"/>
      <c r="H5" s="6"/>
      <c r="I5" s="10"/>
      <c r="M5" s="9"/>
      <c r="N5" s="6"/>
      <c r="O5" s="10"/>
    </row>
    <row r="6" spans="1:15" ht="12.75" customHeight="1">
      <c r="A6" s="48" t="str">
        <f>IF(A1="NE","","When Empty, Return to")</f>
        <v>When Empty, Return to</v>
      </c>
      <c r="B6" s="49"/>
      <c r="C6" s="50"/>
      <c r="D6" s="48" t="str">
        <f>IF(D1="NE","","When Empty, Return to")</f>
        <v>When Empty, Return to</v>
      </c>
      <c r="E6" s="49"/>
      <c r="F6" s="50"/>
      <c r="G6" s="48" t="str">
        <f>IF(G1="NE","","When Empty, Return to")</f>
        <v>When Empty, Return to</v>
      </c>
      <c r="H6" s="49"/>
      <c r="I6" s="50"/>
      <c r="J6" s="48" t="str">
        <f>IF(J1="NE","","When Empty, Return to")</f>
        <v>When Empty, Return to</v>
      </c>
      <c r="K6" s="49"/>
      <c r="L6" s="50"/>
      <c r="M6" s="48" t="str">
        <f>IF(M1="NE","","When Empty, Return to")</f>
        <v>When Empty, Return to</v>
      </c>
      <c r="N6" s="49"/>
      <c r="O6" s="50"/>
    </row>
    <row r="7" spans="1:15" ht="12.75" customHeight="1">
      <c r="A7" s="9"/>
      <c r="B7" s="6"/>
      <c r="C7" s="10"/>
      <c r="D7" s="6"/>
      <c r="E7" s="6"/>
      <c r="F7" s="6"/>
      <c r="G7" s="9"/>
      <c r="H7" s="6"/>
      <c r="I7" s="10"/>
      <c r="J7" s="6"/>
      <c r="K7" s="6"/>
      <c r="L7" s="6"/>
      <c r="M7" s="9"/>
      <c r="N7" s="6"/>
      <c r="O7" s="10"/>
    </row>
    <row r="8" spans="1:15" ht="12.75" customHeight="1">
      <c r="A8" s="45" t="str">
        <f>IF(A1="NE","","……………………………")</f>
        <v>……………………………</v>
      </c>
      <c r="B8" s="46"/>
      <c r="C8" s="47"/>
      <c r="D8" s="45" t="str">
        <f>IF(D1="NE","","……………………………")</f>
        <v>……………………………</v>
      </c>
      <c r="E8" s="46"/>
      <c r="F8" s="47"/>
      <c r="G8" s="45" t="str">
        <f>IF(G1="NE","","……………………………")</f>
        <v>……………………………</v>
      </c>
      <c r="H8" s="46"/>
      <c r="I8" s="47"/>
      <c r="J8" s="45" t="str">
        <f>IF(J1="NE","","……………………………")</f>
        <v>……………………………</v>
      </c>
      <c r="K8" s="46"/>
      <c r="L8" s="47"/>
      <c r="M8" s="45" t="str">
        <f>IF(M1="NE","","……………………………")</f>
        <v>……………………………</v>
      </c>
      <c r="N8" s="46"/>
      <c r="O8" s="47"/>
    </row>
    <row r="9" spans="1:15" ht="12.75" customHeight="1">
      <c r="A9" s="9"/>
      <c r="B9" s="6"/>
      <c r="C9" s="10"/>
      <c r="D9" s="6"/>
      <c r="E9" s="6"/>
      <c r="F9" s="6"/>
      <c r="G9" s="9"/>
      <c r="H9" s="6"/>
      <c r="I9" s="10"/>
      <c r="J9" s="6"/>
      <c r="K9" s="6"/>
      <c r="L9" s="6"/>
      <c r="M9" s="9"/>
      <c r="N9" s="6"/>
      <c r="O9" s="10"/>
    </row>
    <row r="10" spans="1:15" ht="12.75" customHeight="1">
      <c r="A10" s="9"/>
      <c r="B10" s="6"/>
      <c r="C10" s="10"/>
      <c r="D10" s="6"/>
      <c r="E10" s="6"/>
      <c r="F10" s="6"/>
      <c r="G10" s="9"/>
      <c r="H10" s="6"/>
      <c r="I10" s="10"/>
      <c r="J10" s="6"/>
      <c r="K10" s="6"/>
      <c r="L10" s="6"/>
      <c r="M10" s="9"/>
      <c r="N10" s="6"/>
      <c r="O10" s="10"/>
    </row>
    <row r="11" spans="1:15" ht="12.75" customHeight="1">
      <c r="A11" s="9"/>
      <c r="B11" s="6"/>
      <c r="C11" s="10"/>
      <c r="D11" s="6"/>
      <c r="E11" s="6"/>
      <c r="F11" s="6"/>
      <c r="G11" s="9"/>
      <c r="H11" s="6"/>
      <c r="I11" s="10"/>
      <c r="J11" s="6"/>
      <c r="K11" s="6"/>
      <c r="L11" s="6"/>
      <c r="M11" s="9"/>
      <c r="N11" s="6"/>
      <c r="O11" s="10"/>
    </row>
    <row r="12" spans="1:15" ht="12.75" customHeight="1">
      <c r="A12" s="9"/>
      <c r="B12" s="6"/>
      <c r="C12" s="10"/>
      <c r="D12" s="6"/>
      <c r="E12" s="6"/>
      <c r="F12" s="6"/>
      <c r="G12" s="9"/>
      <c r="H12" s="6"/>
      <c r="I12" s="10"/>
      <c r="J12" s="6"/>
      <c r="K12" s="6"/>
      <c r="L12" s="6"/>
      <c r="M12" s="9"/>
      <c r="N12" s="6"/>
      <c r="O12" s="10"/>
    </row>
    <row r="13" spans="1:15" ht="12.75" customHeight="1">
      <c r="A13" s="9"/>
      <c r="B13" s="6"/>
      <c r="C13" s="10"/>
      <c r="D13" s="6"/>
      <c r="E13" s="6"/>
      <c r="F13" s="6"/>
      <c r="G13" s="9"/>
      <c r="H13" s="6"/>
      <c r="I13" s="10"/>
      <c r="J13" s="6"/>
      <c r="K13" s="6"/>
      <c r="L13" s="6"/>
      <c r="M13" s="9"/>
      <c r="N13" s="6"/>
      <c r="O13" s="10"/>
    </row>
    <row r="14" spans="1:15" ht="12.75" customHeight="1">
      <c r="A14" s="9"/>
      <c r="B14" s="6"/>
      <c r="C14" s="10"/>
      <c r="D14" s="6"/>
      <c r="E14" s="6"/>
      <c r="F14" s="6"/>
      <c r="G14" s="9"/>
      <c r="H14" s="6"/>
      <c r="I14" s="10"/>
      <c r="J14" s="6"/>
      <c r="K14" s="6"/>
      <c r="L14" s="6"/>
      <c r="M14" s="9"/>
      <c r="N14" s="6"/>
      <c r="O14" s="10"/>
    </row>
    <row r="15" spans="1:15" ht="12.75" customHeight="1">
      <c r="A15" s="9"/>
      <c r="B15" s="6"/>
      <c r="C15" s="10"/>
      <c r="D15" s="6"/>
      <c r="E15" s="6"/>
      <c r="F15" s="6"/>
      <c r="G15" s="9"/>
      <c r="H15" s="6"/>
      <c r="I15" s="10"/>
      <c r="J15" s="6"/>
      <c r="K15" s="6"/>
      <c r="L15" s="6"/>
      <c r="M15" s="9"/>
      <c r="N15" s="6"/>
      <c r="O15" s="10"/>
    </row>
    <row r="16" spans="1:15" ht="12.75" customHeight="1">
      <c r="A16" s="9"/>
      <c r="B16" s="6"/>
      <c r="C16" s="10"/>
      <c r="D16" s="6"/>
      <c r="E16" s="6"/>
      <c r="F16" s="6"/>
      <c r="G16" s="9"/>
      <c r="H16" s="6"/>
      <c r="I16" s="10"/>
      <c r="J16" s="6"/>
      <c r="K16" s="6"/>
      <c r="L16" s="6"/>
      <c r="M16" s="9"/>
      <c r="N16" s="6"/>
      <c r="O16" s="10"/>
    </row>
    <row r="17" spans="1:15" ht="12.75" customHeight="1">
      <c r="A17" s="9"/>
      <c r="B17" s="6"/>
      <c r="C17" s="10"/>
      <c r="D17" s="6"/>
      <c r="E17" s="6"/>
      <c r="F17" s="6"/>
      <c r="G17" s="9"/>
      <c r="H17" s="6"/>
      <c r="I17" s="10"/>
      <c r="J17" s="6"/>
      <c r="K17" s="6"/>
      <c r="L17" s="6"/>
      <c r="M17" s="9"/>
      <c r="N17" s="6"/>
      <c r="O17" s="10"/>
    </row>
    <row r="18" spans="1:15" ht="12.75" customHeight="1">
      <c r="A18" s="9"/>
      <c r="B18" s="6"/>
      <c r="C18" s="10"/>
      <c r="D18" s="6"/>
      <c r="E18" s="6"/>
      <c r="F18" s="6"/>
      <c r="G18" s="9"/>
      <c r="H18" s="6"/>
      <c r="I18" s="10"/>
      <c r="J18" s="6"/>
      <c r="K18" s="6"/>
      <c r="L18" s="6"/>
      <c r="M18" s="9"/>
      <c r="N18" s="6"/>
      <c r="O18" s="10"/>
    </row>
    <row r="19" spans="1:15" ht="12.75" customHeight="1">
      <c r="A19" s="9"/>
      <c r="B19" s="6"/>
      <c r="C19" s="10"/>
      <c r="D19" s="6"/>
      <c r="E19" s="6"/>
      <c r="F19" s="6"/>
      <c r="G19" s="9"/>
      <c r="H19" s="6"/>
      <c r="I19" s="10"/>
      <c r="J19" s="6"/>
      <c r="K19" s="6"/>
      <c r="L19" s="6"/>
      <c r="M19" s="9"/>
      <c r="N19" s="6"/>
      <c r="O19" s="10"/>
    </row>
    <row r="20" spans="1:15" ht="12.75" customHeight="1">
      <c r="A20" s="11"/>
      <c r="B20" s="12"/>
      <c r="C20" s="13"/>
      <c r="D20" s="12"/>
      <c r="E20" s="12"/>
      <c r="F20" s="12"/>
      <c r="G20" s="11"/>
      <c r="H20" s="12"/>
      <c r="I20" s="13"/>
      <c r="J20" s="12"/>
      <c r="K20" s="12"/>
      <c r="L20" s="12"/>
      <c r="M20" s="11"/>
      <c r="N20" s="12"/>
      <c r="O20" s="13"/>
    </row>
    <row r="21" spans="1:15" ht="12.75" customHeight="1">
      <c r="A21" s="9"/>
      <c r="B21" s="6"/>
      <c r="C21" s="10"/>
      <c r="D21" s="9"/>
      <c r="E21" s="6"/>
      <c r="F21" s="10"/>
      <c r="G21" s="9"/>
      <c r="H21" s="6"/>
      <c r="I21" s="10"/>
      <c r="J21" s="9"/>
      <c r="K21" s="6"/>
      <c r="L21" s="10"/>
      <c r="M21" s="9"/>
      <c r="N21" s="6"/>
      <c r="O21" s="10"/>
    </row>
    <row r="22" spans="1:15" ht="12.75" customHeight="1">
      <c r="A22" s="9"/>
      <c r="B22" s="6"/>
      <c r="C22" s="10"/>
      <c r="D22" s="9"/>
      <c r="E22" s="6"/>
      <c r="F22" s="10"/>
      <c r="G22" s="9"/>
      <c r="H22" s="6"/>
      <c r="I22" s="10"/>
      <c r="J22" s="9"/>
      <c r="K22" s="6"/>
      <c r="L22" s="10"/>
      <c r="M22" s="9"/>
      <c r="N22" s="6"/>
      <c r="O22" s="10"/>
    </row>
    <row r="23" spans="1:15" ht="12.75" customHeight="1">
      <c r="A23" s="9"/>
      <c r="B23" s="6"/>
      <c r="C23" s="10"/>
      <c r="D23" s="9"/>
      <c r="E23" s="6"/>
      <c r="F23" s="10"/>
      <c r="G23" s="9"/>
      <c r="H23" s="6"/>
      <c r="I23" s="10"/>
      <c r="J23" s="9"/>
      <c r="K23" s="6"/>
      <c r="L23" s="10"/>
      <c r="M23" s="9"/>
      <c r="N23" s="6"/>
      <c r="O23" s="10"/>
    </row>
    <row r="24" spans="1:15" ht="12.75" customHeight="1">
      <c r="A24" s="9"/>
      <c r="B24" s="6"/>
      <c r="C24" s="10"/>
      <c r="D24" s="9"/>
      <c r="E24" s="6"/>
      <c r="F24" s="10"/>
      <c r="G24" s="9"/>
      <c r="H24" s="6"/>
      <c r="I24" s="10"/>
      <c r="J24" s="9"/>
      <c r="K24" s="6"/>
      <c r="L24" s="10"/>
      <c r="M24" s="9"/>
      <c r="N24" s="6"/>
      <c r="O24" s="10"/>
    </row>
    <row r="25" spans="1:15" ht="12.75" customHeight="1">
      <c r="A25" s="9"/>
      <c r="B25" s="6"/>
      <c r="C25" s="10"/>
      <c r="D25" s="9"/>
      <c r="E25" s="6"/>
      <c r="F25" s="10"/>
      <c r="G25" s="9"/>
      <c r="H25" s="6"/>
      <c r="I25" s="10"/>
      <c r="J25" s="9"/>
      <c r="K25" s="6"/>
      <c r="L25" s="10"/>
      <c r="M25" s="9"/>
      <c r="N25" s="6"/>
      <c r="O25" s="10"/>
    </row>
    <row r="26" spans="1:15" ht="12.75" customHeight="1">
      <c r="A26" s="9"/>
      <c r="B26" s="6"/>
      <c r="C26" s="10"/>
      <c r="D26" s="9"/>
      <c r="E26" s="6"/>
      <c r="F26" s="10"/>
      <c r="G26" s="9"/>
      <c r="H26" s="6"/>
      <c r="I26" s="10"/>
      <c r="J26" s="9"/>
      <c r="K26" s="6"/>
      <c r="L26" s="10"/>
      <c r="M26" s="9"/>
      <c r="N26" s="6"/>
      <c r="O26" s="10"/>
    </row>
    <row r="27" spans="1:15" ht="12.75" customHeight="1">
      <c r="A27" s="9"/>
      <c r="B27" s="6"/>
      <c r="C27" s="10"/>
      <c r="D27" s="9"/>
      <c r="E27" s="6"/>
      <c r="F27" s="10"/>
      <c r="G27" s="9"/>
      <c r="H27" s="6"/>
      <c r="I27" s="10"/>
      <c r="J27" s="9"/>
      <c r="K27" s="6"/>
      <c r="L27" s="10"/>
      <c r="M27" s="9"/>
      <c r="N27" s="6"/>
      <c r="O27" s="10"/>
    </row>
    <row r="28" spans="1:15" ht="12.75" customHeight="1">
      <c r="A28" s="9"/>
      <c r="B28" s="6"/>
      <c r="C28" s="10"/>
      <c r="D28" s="9"/>
      <c r="E28" s="6"/>
      <c r="F28" s="10"/>
      <c r="G28" s="9"/>
      <c r="H28" s="6"/>
      <c r="I28" s="10"/>
      <c r="J28" s="9"/>
      <c r="K28" s="6"/>
      <c r="L28" s="10"/>
      <c r="M28" s="9"/>
      <c r="N28" s="6"/>
      <c r="O28" s="10"/>
    </row>
    <row r="29" spans="1:15" ht="12.75" customHeight="1">
      <c r="A29" s="11"/>
      <c r="B29" s="12"/>
      <c r="C29" s="13"/>
      <c r="D29" s="12"/>
      <c r="E29" s="12"/>
      <c r="F29" s="13"/>
      <c r="G29" s="12"/>
      <c r="H29" s="12"/>
      <c r="I29" s="13"/>
      <c r="J29" s="12"/>
      <c r="K29" s="12"/>
      <c r="L29" s="13"/>
      <c r="M29" s="12"/>
      <c r="N29" s="12"/>
      <c r="O29" s="13"/>
    </row>
    <row r="30" ht="12.75" customHeight="1"/>
    <row r="31" ht="12.75" customHeight="1"/>
  </sheetData>
  <sheetProtection/>
  <mergeCells count="15">
    <mergeCell ref="D6:F6"/>
    <mergeCell ref="G6:I6"/>
    <mergeCell ref="C2:C3"/>
    <mergeCell ref="A6:C6"/>
    <mergeCell ref="F2:F3"/>
    <mergeCell ref="L2:L3"/>
    <mergeCell ref="O2:O3"/>
    <mergeCell ref="A8:C8"/>
    <mergeCell ref="D8:F8"/>
    <mergeCell ref="G8:I8"/>
    <mergeCell ref="J8:L8"/>
    <mergeCell ref="M8:O8"/>
    <mergeCell ref="J6:L6"/>
    <mergeCell ref="M6:O6"/>
    <mergeCell ref="I2:I3"/>
  </mergeCells>
  <printOptions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2.7109375" style="0" customWidth="1"/>
    <col min="2" max="2" width="1.7109375" style="0" customWidth="1"/>
    <col min="3" max="4" width="12.7109375" style="0" customWidth="1"/>
    <col min="5" max="5" width="1.7109375" style="0" customWidth="1"/>
    <col min="6" max="7" width="12.7109375" style="0" customWidth="1"/>
    <col min="8" max="8" width="1.7109375" style="0" customWidth="1"/>
    <col min="9" max="10" width="12.7109375" style="0" customWidth="1"/>
    <col min="11" max="11" width="1.7109375" style="0" customWidth="1"/>
    <col min="12" max="13" width="12.7109375" style="0" customWidth="1"/>
    <col min="14" max="14" width="1.7109375" style="0" customWidth="1"/>
    <col min="15" max="15" width="12.7109375" style="0" customWidth="1"/>
  </cols>
  <sheetData>
    <row r="1" spans="1:15" ht="24" customHeight="1">
      <c r="A1" s="24" t="str">
        <f>IF(ISERROR(MATCH(Loco1,Cars!$A:$A,0)),"",VLOOKUP(Loco1,Cars!$A:$F,2))</f>
        <v>S4</v>
      </c>
      <c r="B1" s="8"/>
      <c r="C1" s="25" t="str">
        <f>IF(ISERROR(MATCH(Loco1,Cars!$A:$A,0)),"",VLOOKUP(Loco1,Cars!$A:$F,3))</f>
        <v>MILW   </v>
      </c>
      <c r="D1" s="26" t="str">
        <f>IF(ISERROR(MATCH(Loco2,Cars!$A:$A,0)),"",VLOOKUP(Loco2,Cars!$A:$F,2))</f>
        <v>MP15AC</v>
      </c>
      <c r="E1" s="14"/>
      <c r="F1" s="26" t="str">
        <f>IF(ISERROR(MATCH(Loco2,Cars!$A:$A,0)),"",VLOOKUP(Loco2,Cars!$A:$F,3))</f>
        <v>MILW</v>
      </c>
      <c r="G1" s="24" t="str">
        <f>IF(ISERROR(MATCH(Loco3,Cars!$A:$A,0)),"",VLOOKUP(Loco3,Cars!$A:$F,2))</f>
        <v>MP15AC</v>
      </c>
      <c r="H1" s="14"/>
      <c r="I1" s="25" t="str">
        <f>IF(ISERROR(MATCH(Loco3,Cars!$A:$A,0)),"",VLOOKUP(Loco3,Cars!$A:$F,3))</f>
        <v>MILW</v>
      </c>
      <c r="J1" s="26" t="str">
        <f>IF(ISERROR(MATCH(Loco4,Cars!$A:$A,0)),"",VLOOKUP(Loco4,Cars!$A:$F,2))</f>
        <v>H10-44</v>
      </c>
      <c r="K1" s="14"/>
      <c r="L1" s="26" t="str">
        <f>IF(ISERROR(MATCH(Loco4,Cars!$A:$A,0)),"",VLOOKUP(Loco4,Cars!$A:$F,3))</f>
        <v>MILW</v>
      </c>
      <c r="M1" s="24" t="str">
        <f>IF(ISERROR(MATCH(Loco5,Cars!$A:$A,0)),"",VLOOKUP(Loco5,Cars!$A:$F,2))</f>
        <v>U28B</v>
      </c>
      <c r="N1" s="14"/>
      <c r="O1" s="25" t="str">
        <f>IF(ISERROR(MATCH(Loco5,Cars!$A:$A,0)),"",VLOOKUP(Loco5,Cars!$A:$F,3))</f>
        <v>MILW</v>
      </c>
    </row>
    <row r="2" spans="1:15" ht="17.25" customHeight="1">
      <c r="A2" s="20" t="str">
        <f>IF(ISERROR(MATCH(Loco1,Cars!$A:$A,0)),"",VLOOKUP(Loco1,Cars!$A:$F,5))</f>
        <v>Max</v>
      </c>
      <c r="B2" s="6"/>
      <c r="C2" s="44">
        <f>IF(ISERROR(MATCH(Loco1,Cars!$A:$A,0)),"",VLOOKUP(Loco1,Cars!$A:$F,4))</f>
        <v>817</v>
      </c>
      <c r="D2" s="15" t="str">
        <f>IF(ISERROR(MATCH(Loco2,Cars!$A:$A,0)),"",VLOOKUP(Loco2,Cars!$A:$F,5))</f>
        <v>Max</v>
      </c>
      <c r="E2" s="16"/>
      <c r="F2" s="43">
        <f>IF(ISERROR(MATCH(Loco2,Cars!$A:$A,0)),"",VLOOKUP(Loco2,Cars!$A:$F,4))</f>
        <v>453</v>
      </c>
      <c r="G2" s="17" t="str">
        <f>IF(ISERROR(MATCH(Loco3,Cars!$A:$A,0)),"",VLOOKUP(Loco3,Cars!$A:$F,5))</f>
        <v>Max</v>
      </c>
      <c r="H2" s="16"/>
      <c r="I2" s="44">
        <f>IF(ISERROR(MATCH(Loco3,Cars!$A:$A,0)),"",VLOOKUP(Loco3,Cars!$A:$F,4))</f>
        <v>437</v>
      </c>
      <c r="J2" s="15" t="str">
        <f>IF(ISERROR(MATCH(Loco4,Cars!$A:$A,0)),"",VLOOKUP(Loco4,Cars!$A:$F,5))</f>
        <v>Max</v>
      </c>
      <c r="K2" s="16"/>
      <c r="L2" s="44">
        <f>IF(ISERROR(MATCH(Loco4,Cars!$A:$A,0)),"",VLOOKUP(Loco4,Cars!$A:$F,4))</f>
        <v>766</v>
      </c>
      <c r="M2" s="15" t="str">
        <f>IF(ISERROR(MATCH(Loco5,Cars!$A:$A,0)),"",VLOOKUP(Loco5,Cars!$A:$F,5))</f>
        <v>Max</v>
      </c>
      <c r="N2" s="16"/>
      <c r="O2" s="44">
        <f>IF(ISERROR(MATCH(Loco5,Cars!$A:$A,0)),"",VLOOKUP(Loco5,Cars!$A:$F,4))</f>
        <v>130</v>
      </c>
    </row>
    <row r="3" spans="1:15" ht="12.75" customHeight="1">
      <c r="A3" s="20" t="str">
        <f>IF(ISERROR(MATCH(Loco1,Cars!$A:$A,0)),"",VLOOKUP(Loco1,Cars!$A:$F,6))</f>
        <v>5 Cars</v>
      </c>
      <c r="B3" s="6"/>
      <c r="C3" s="51"/>
      <c r="D3" s="15" t="str">
        <f>IF(ISERROR(MATCH(Loco2,Cars!$A:$A,0)),"",VLOOKUP(Loco2,Cars!$A:$F,6))</f>
        <v>5 Cars</v>
      </c>
      <c r="E3" s="16"/>
      <c r="F3" s="54"/>
      <c r="G3" s="17" t="str">
        <f>IF(ISERROR(MATCH(Loco3,Cars!$A:$A,0)),"",VLOOKUP(Loco3,Cars!$A:$F,6))</f>
        <v>5 Cars</v>
      </c>
      <c r="H3" s="16"/>
      <c r="I3" s="51"/>
      <c r="J3" s="15" t="str">
        <f>IF(ISERROR(MATCH(Loco4,Cars!$A:$A,0)),"",VLOOKUP(Loco4,Cars!$A:$F,6))</f>
        <v>5 Cars</v>
      </c>
      <c r="K3" s="16"/>
      <c r="L3" s="51"/>
      <c r="M3" s="15" t="str">
        <f>IF(ISERROR(MATCH(Loco5,Cars!$A:$A,0)),"",VLOOKUP(Loco5,Cars!$A:$F,6))</f>
        <v>10 Cars</v>
      </c>
      <c r="N3" s="16"/>
      <c r="O3" s="51"/>
    </row>
    <row r="4" spans="1:15" ht="12.75" customHeight="1">
      <c r="A4" s="29" t="str">
        <f>IF(ISERROR(MATCH(Loco1,Cars!$A:$A,0)),"",VLOOKUP(Loco1,Cars!$A:$P,16))</f>
        <v>10-AS</v>
      </c>
      <c r="B4" s="6"/>
      <c r="C4" s="18"/>
      <c r="D4" s="29" t="str">
        <f>IF(ISERROR(MATCH(Loco2,Cars!$A:$A,0)),"",VLOOKUP(Loco2,Cars!$A:$P,16))</f>
        <v>15-ES</v>
      </c>
      <c r="E4" s="16"/>
      <c r="F4" s="16"/>
      <c r="G4" s="29" t="str">
        <f>IF(ISERROR(MATCH(Loco3,Cars!$A:$A,0)),"",VLOOKUP(Loco3,Cars!$A:$P,16))</f>
        <v>15-ES</v>
      </c>
      <c r="H4" s="16"/>
      <c r="I4" s="18"/>
      <c r="J4" s="29" t="str">
        <f>IF(ISERROR(MATCH(Loco4,Cars!$A:$A,0)),"",VLOOKUP(Loco4,Cars!$A:$P,16))</f>
        <v>10-FS</v>
      </c>
      <c r="K4" s="16"/>
      <c r="L4" s="16"/>
      <c r="M4" s="29" t="str">
        <f>IF(ISERROR(MATCH(Loco5,Cars!$A:$A,0)),"",VLOOKUP(Loco5,Cars!$A:$P,16))</f>
        <v>28-GRS-4</v>
      </c>
      <c r="N4" s="16"/>
      <c r="O4" s="18"/>
    </row>
    <row r="5" spans="1:15" ht="12.75" customHeight="1">
      <c r="A5" s="36" t="str">
        <f>IF(B5&lt;&gt;"","F0","")</f>
        <v>F0</v>
      </c>
      <c r="B5" s="52" t="str">
        <f>IF(ISERROR(MATCH(Loco1,Cars!$A:$A,0)),"",VLOOKUP(Loco1,Cars!$A:$H,7))</f>
        <v>Headlight</v>
      </c>
      <c r="C5" s="53"/>
      <c r="D5" s="36" t="str">
        <f>IF(E5&lt;&gt;"","F0","")</f>
        <v>F0</v>
      </c>
      <c r="E5" s="52" t="str">
        <f>IF(ISERROR(MATCH(Loco2,Cars!$A:$A,0)),"",VLOOKUP(Loco2,Cars!$A:$H,7))</f>
        <v>Headlight</v>
      </c>
      <c r="F5" s="53"/>
      <c r="G5" s="36" t="str">
        <f>IF(H5&lt;&gt;"","F0","")</f>
        <v>F0</v>
      </c>
      <c r="H5" s="52" t="str">
        <f>IF(ISERROR(MATCH(Loco3,Cars!$A:$A,0)),"",VLOOKUP(Loco3,Cars!$A:$H,7))</f>
        <v>Headlight</v>
      </c>
      <c r="I5" s="53"/>
      <c r="J5" s="36" t="str">
        <f>IF(K5&lt;&gt;"","F0","")</f>
        <v>F0</v>
      </c>
      <c r="K5" s="52" t="str">
        <f>IF(ISERROR(MATCH(Loco4,Cars!$A:$A,0)),"",VLOOKUP(Loco4,Cars!$A:$H,7))</f>
        <v>Headlight</v>
      </c>
      <c r="L5" s="53"/>
      <c r="M5" s="36" t="str">
        <f>IF(N5&lt;&gt;"","F0","")</f>
        <v>F0</v>
      </c>
      <c r="N5" s="52" t="str">
        <f>IF(ISERROR(MATCH(Loco5,Cars!$A:$A,0)),"",VLOOKUP(Loco5,Cars!$A:$H,7))</f>
        <v>Headlight</v>
      </c>
      <c r="O5" s="53"/>
    </row>
    <row r="6" spans="1:15" ht="12.75" customHeight="1">
      <c r="A6" s="36" t="str">
        <f>IF(B6&lt;&gt;" ","F1","")</f>
        <v>F1</v>
      </c>
      <c r="B6" s="52" t="str">
        <f>IF(ISERROR(MATCH(Loco1,Cars!$A:$A,0)),"",VLOOKUP(Loco1,Cars!$A:$H,8))</f>
        <v>Bell</v>
      </c>
      <c r="C6" s="53"/>
      <c r="D6" s="36" t="str">
        <f>IF(E6&lt;&gt;" ","F1","")</f>
        <v>F1</v>
      </c>
      <c r="E6" s="52" t="str">
        <f>IF(ISERROR(MATCH(Loco2,Cars!$A:$A,0)),"",VLOOKUP(Loco2,Cars!$A:$H,8))</f>
        <v>Bell</v>
      </c>
      <c r="F6" s="53"/>
      <c r="G6" s="36" t="str">
        <f>IF(H6&lt;&gt;" ","F1","")</f>
        <v>F1</v>
      </c>
      <c r="H6" s="52" t="str">
        <f>IF(ISERROR(MATCH(Loco3,Cars!$A:$A,0)),"",VLOOKUP(Loco3,Cars!$A:$H,8))</f>
        <v>Bell</v>
      </c>
      <c r="I6" s="53"/>
      <c r="J6" s="36" t="str">
        <f>IF(K6&lt;&gt;" ","F1","")</f>
        <v>F1</v>
      </c>
      <c r="K6" s="52" t="str">
        <f>IF(ISERROR(MATCH(Loco4,Cars!$A:$A,0)),"",VLOOKUP(Loco4,Cars!$A:$H,8))</f>
        <v>Bell</v>
      </c>
      <c r="L6" s="53"/>
      <c r="M6" s="36" t="str">
        <f>IF(N6&lt;&gt;" ","F1","")</f>
        <v>F1</v>
      </c>
      <c r="N6" s="52" t="str">
        <f>IF(ISERROR(MATCH(Loco5,Cars!$A:$A,0)),"",VLOOKUP(Loco5,Cars!$A:$H,8))</f>
        <v>Bell</v>
      </c>
      <c r="O6" s="53"/>
    </row>
    <row r="7" spans="1:15" ht="12.75" customHeight="1">
      <c r="A7" s="36" t="str">
        <f>IF(B7&lt;&gt;" ","F2","")</f>
        <v>F2</v>
      </c>
      <c r="B7" s="52" t="str">
        <f>IF(ISERROR(MATCH(Loco1,Cars!$A:$A,0)),"",VLOOKUP(Loco1,Cars!$A:$O,9))</f>
        <v>Horn</v>
      </c>
      <c r="C7" s="53"/>
      <c r="D7" s="36" t="str">
        <f>IF(E7&lt;&gt;" ","F2","")</f>
        <v>F2</v>
      </c>
      <c r="E7" s="52" t="str">
        <f>IF(ISERROR(MATCH(Loco2,Cars!$A:$A,0)),"",VLOOKUP(Loco2,Cars!$A:$O,9))</f>
        <v>Horn</v>
      </c>
      <c r="F7" s="53"/>
      <c r="G7" s="36" t="str">
        <f>IF(H7&lt;&gt;" ","F2","")</f>
        <v>F2</v>
      </c>
      <c r="H7" s="52" t="str">
        <f>IF(ISERROR(MATCH(Loco3,Cars!$A:$A,0)),"",VLOOKUP(Loco3,Cars!$A:$O,9))</f>
        <v>Horn</v>
      </c>
      <c r="I7" s="53"/>
      <c r="J7" s="36" t="str">
        <f>IF(K7&lt;&gt;" ","F2","")</f>
        <v>F2</v>
      </c>
      <c r="K7" s="52" t="str">
        <f>IF(ISERROR(MATCH(Loco4,Cars!$A:$A,0)),"",VLOOKUP(Loco4,Cars!$A:$O,9))</f>
        <v>Horn</v>
      </c>
      <c r="L7" s="53"/>
      <c r="M7" s="36" t="str">
        <f>IF(N7&lt;&gt;" ","F2","")</f>
        <v>F2</v>
      </c>
      <c r="N7" s="52" t="str">
        <f>IF(ISERROR(MATCH(Loco5,Cars!$A:$A,0)),"",VLOOKUP(Loco5,Cars!$A:$O,9))</f>
        <v>Horn</v>
      </c>
      <c r="O7" s="53"/>
    </row>
    <row r="8" spans="1:15" ht="12.75" customHeight="1">
      <c r="A8" s="36" t="str">
        <f>IF(B8&lt;&gt;" ","F3","")</f>
        <v>F3</v>
      </c>
      <c r="B8" s="52" t="str">
        <f>IF(ISERROR(MATCH(Loco1,Cars!$A:$A,0)),"",VLOOKUP(Loco1,Cars!$A:$O,10))</f>
        <v>Coupler</v>
      </c>
      <c r="C8" s="53"/>
      <c r="D8" s="36" t="str">
        <f>IF(E8&lt;&gt;" ","F3","")</f>
        <v>F3</v>
      </c>
      <c r="E8" s="52" t="str">
        <f>IF(ISERROR(MATCH(Loco2,Cars!$A:$A,0)),"",VLOOKUP(Loco2,Cars!$A:$O,10))</f>
        <v>Coupler</v>
      </c>
      <c r="F8" s="53"/>
      <c r="G8" s="36" t="str">
        <f>IF(H8&lt;&gt;" ","F3","")</f>
        <v>F3</v>
      </c>
      <c r="H8" s="52" t="str">
        <f>IF(ISERROR(MATCH(Loco3,Cars!$A:$A,0)),"",VLOOKUP(Loco3,Cars!$A:$O,10))</f>
        <v>Coupler</v>
      </c>
      <c r="I8" s="53"/>
      <c r="J8" s="36" t="str">
        <f>IF(K8&lt;&gt;" ","F3","")</f>
        <v>F3</v>
      </c>
      <c r="K8" s="52" t="str">
        <f>IF(ISERROR(MATCH(Loco4,Cars!$A:$A,0)),"",VLOOKUP(Loco4,Cars!$A:$O,10))</f>
        <v>Coupler</v>
      </c>
      <c r="L8" s="53"/>
      <c r="M8" s="36" t="str">
        <f>IF(N8&lt;&gt;" ","F3","")</f>
        <v>F3</v>
      </c>
      <c r="N8" s="52" t="str">
        <f>IF(ISERROR(MATCH(Loco5,Cars!$A:$A,0)),"",VLOOKUP(Loco5,Cars!$A:$O,10))</f>
        <v>Coupler</v>
      </c>
      <c r="O8" s="53"/>
    </row>
    <row r="9" spans="1:15" ht="12.75" customHeight="1">
      <c r="A9" s="36">
        <f>IF(B9&lt;&gt;" ","F4","")</f>
      </c>
      <c r="B9" s="52" t="str">
        <f>IF(ISERROR(MATCH(Loco1,Cars!$A:$A,0)),"",VLOOKUP(Loco1,Cars!$A:$O,11))</f>
        <v> </v>
      </c>
      <c r="C9" s="53"/>
      <c r="D9" s="38" t="str">
        <f>IF(E9&lt;&gt;" ","F4","")</f>
        <v>F4</v>
      </c>
      <c r="E9" s="52" t="str">
        <f>IF(ISERROR(MATCH(Loco2,Cars!$A:$A,0)),"",VLOOKUP(Loco2,Cars!$A:$O,11))</f>
        <v>Fans</v>
      </c>
      <c r="F9" s="53"/>
      <c r="G9" s="38" t="str">
        <f>IF(H9&lt;&gt;" ","F4","")</f>
        <v>F4</v>
      </c>
      <c r="H9" s="52" t="str">
        <f>IF(ISERROR(MATCH(Loco3,Cars!$A:$A,0)),"",VLOOKUP(Loco3,Cars!$A:$O,11))</f>
        <v>Fans</v>
      </c>
      <c r="I9" s="53"/>
      <c r="J9" s="38" t="str">
        <f>IF(K9&lt;&gt;" ","F4","")</f>
        <v>F4</v>
      </c>
      <c r="K9" s="52" t="str">
        <f>IF(ISERROR(MATCH(Loco4,Cars!$A:$A,0)),"",VLOOKUP(Loco4,Cars!$A:$O,11))</f>
        <v>Fans</v>
      </c>
      <c r="L9" s="53"/>
      <c r="M9" s="38" t="str">
        <f>IF(N9&lt;&gt;" ","F4","")</f>
        <v>F4</v>
      </c>
      <c r="N9" s="52" t="str">
        <f>IF(ISERROR(MATCH(Loco5,Cars!$A:$A,0)),"",VLOOKUP(Loco5,Cars!$A:$O,11))</f>
        <v>Fans</v>
      </c>
      <c r="O9" s="53"/>
    </row>
    <row r="10" spans="1:15" ht="12.75" customHeight="1">
      <c r="A10" s="36">
        <f>IF(B10&lt;&gt;" ","F5","")</f>
      </c>
      <c r="B10" s="52" t="str">
        <f>IF(ISERROR(MATCH(Loco1,Cars!$A:$A,0)),"",VLOOKUP(Loco1,Cars!$A:$O,12))</f>
        <v> </v>
      </c>
      <c r="C10" s="53"/>
      <c r="D10" s="38">
        <f>IF(E10&lt;&gt;" ","F5","")</f>
      </c>
      <c r="E10" s="52" t="str">
        <f>IF(ISERROR(MATCH(Loco2,Cars!$A:$A,0)),"",VLOOKUP(Loco2,Cars!$A:$O,12))</f>
        <v> </v>
      </c>
      <c r="F10" s="53"/>
      <c r="G10" s="38">
        <f>IF(H10&lt;&gt;" ","F5","")</f>
      </c>
      <c r="H10" s="52" t="str">
        <f>IF(ISERROR(MATCH(Loco3,Cars!$A:$A,0)),"",VLOOKUP(Loco3,Cars!$A:$O,12))</f>
        <v> </v>
      </c>
      <c r="I10" s="53"/>
      <c r="J10" s="38">
        <f>IF(K10&lt;&gt;" ","F5","")</f>
      </c>
      <c r="K10" s="52" t="str">
        <f>IF(ISERROR(MATCH(Loco4,Cars!$A:$A,0)),"",VLOOKUP(Loco4,Cars!$A:$O,12))</f>
        <v> </v>
      </c>
      <c r="L10" s="53"/>
      <c r="M10" s="38">
        <f>IF(N10&lt;&gt;" ","F5","")</f>
      </c>
      <c r="N10" s="52" t="str">
        <f>IF(ISERROR(MATCH(Loco5,Cars!$A:$A,0)),"",VLOOKUP(Loco5,Cars!$A:$O,12))</f>
        <v> </v>
      </c>
      <c r="O10" s="53"/>
    </row>
    <row r="11" spans="1:15" ht="12.75" customHeight="1">
      <c r="A11" s="36">
        <f>IF(B11&lt;&gt;" ","F6","")</f>
      </c>
      <c r="B11" s="52" t="str">
        <f>IF(ISERROR(MATCH(Loco1,Cars!$A:$A,0)),"",VLOOKUP(Loco1,Cars!$A:$O,13))</f>
        <v> </v>
      </c>
      <c r="C11" s="53"/>
      <c r="D11" s="38">
        <f>IF(E11&lt;&gt;" ","F6","")</f>
      </c>
      <c r="E11" s="52" t="str">
        <f>IF(ISERROR(MATCH(Loco2,Cars!$A:$A,0)),"",VLOOKUP(Loco2,Cars!$A:$O,13))</f>
        <v> </v>
      </c>
      <c r="F11" s="53"/>
      <c r="G11" s="38">
        <f>IF(H11&lt;&gt;" ","F6","")</f>
      </c>
      <c r="H11" s="52" t="str">
        <f>IF(ISERROR(MATCH(Loco3,Cars!$A:$A,0)),"",VLOOKUP(Loco3,Cars!$A:$O,13))</f>
        <v> </v>
      </c>
      <c r="I11" s="53"/>
      <c r="J11" s="38">
        <f>IF(K11&lt;&gt;" ","F6","")</f>
      </c>
      <c r="K11" s="52" t="str">
        <f>IF(ISERROR(MATCH(Loco4,Cars!$A:$A,0)),"",VLOOKUP(Loco4,Cars!$A:$O,13))</f>
        <v> </v>
      </c>
      <c r="L11" s="53"/>
      <c r="M11" s="38">
        <f>IF(N11&lt;&gt;" ","F6","")</f>
      </c>
      <c r="N11" s="52" t="str">
        <f>IF(ISERROR(MATCH(Loco5,Cars!$A:$A,0)),"",VLOOKUP(Loco5,Cars!$A:$O,13))</f>
        <v> </v>
      </c>
      <c r="O11" s="53"/>
    </row>
    <row r="12" spans="1:15" ht="12.75" customHeight="1">
      <c r="A12" s="36">
        <f>IF(B12&lt;&gt;" ","F7","")</f>
      </c>
      <c r="B12" s="52" t="str">
        <f>IF(ISERROR(MATCH(Loco1,Cars!$A:$A,0)),"",VLOOKUP(Loco1,Cars!$A:$O,14))</f>
        <v> </v>
      </c>
      <c r="C12" s="53"/>
      <c r="D12" s="38">
        <f>IF(E12&lt;&gt;" ","F7","")</f>
      </c>
      <c r="E12" s="52" t="str">
        <f>IF(ISERROR(MATCH(Loco2,Cars!$A:$A,0)),"",VLOOKUP(Loco2,Cars!$A:$O,14))</f>
        <v> </v>
      </c>
      <c r="F12" s="53"/>
      <c r="G12" s="38">
        <f>IF(H12&lt;&gt;" ","F7","")</f>
      </c>
      <c r="H12" s="52" t="str">
        <f>IF(ISERROR(MATCH(Loco3,Cars!$A:$A,0)),"",VLOOKUP(Loco3,Cars!$A:$O,14))</f>
        <v> </v>
      </c>
      <c r="I12" s="53"/>
      <c r="J12" s="38">
        <f>IF(K12&lt;&gt;" ","F7","")</f>
      </c>
      <c r="K12" s="52" t="str">
        <f>IF(ISERROR(MATCH(Loco4,Cars!$A:$A,0)),"",VLOOKUP(Loco4,Cars!$A:$O,14))</f>
        <v> </v>
      </c>
      <c r="L12" s="53"/>
      <c r="M12" s="38">
        <f>IF(N12&lt;&gt;" ","F7","")</f>
      </c>
      <c r="N12" s="52" t="str">
        <f>IF(ISERROR(MATCH(Loco5,Cars!$A:$A,0)),"",VLOOKUP(Loco5,Cars!$A:$O,14))</f>
        <v> </v>
      </c>
      <c r="O12" s="53"/>
    </row>
    <row r="13" spans="1:15" ht="12.75" customHeight="1">
      <c r="A13" s="37">
        <f>IF(B13&lt;&gt;" ","F8","")</f>
      </c>
      <c r="B13" s="55" t="str">
        <f>IF(ISERROR(MATCH(Loco1,Cars!$A:$A,0)),"",VLOOKUP(Loco1,Cars!$A:$O,15))</f>
        <v> </v>
      </c>
      <c r="C13" s="56"/>
      <c r="D13" s="39">
        <f>IF(E13&lt;&gt;" ","F8","")</f>
      </c>
      <c r="E13" s="55" t="str">
        <f>IF(ISERROR(MATCH(Loco2,Cars!$A:$A,0)),"",VLOOKUP(Loco2,Cars!$A:$O,15))</f>
        <v> </v>
      </c>
      <c r="F13" s="56"/>
      <c r="G13" s="39">
        <f>IF(H13&lt;&gt;" ","F8","")</f>
      </c>
      <c r="H13" s="55" t="str">
        <f>IF(ISERROR(MATCH(Loco3,Cars!$A:$A,0)),"",VLOOKUP(Loco3,Cars!$A:$O,15))</f>
        <v> </v>
      </c>
      <c r="I13" s="56"/>
      <c r="J13" s="39">
        <f>IF(K13&lt;&gt;" ","F8","")</f>
      </c>
      <c r="K13" s="55" t="str">
        <f>IF(ISERROR(MATCH(Loco4,Cars!$A:$A,0)),"",VLOOKUP(Loco4,Cars!$A:$O,15))</f>
        <v> </v>
      </c>
      <c r="L13" s="56"/>
      <c r="M13" s="39">
        <f>IF(N13&lt;&gt;" ","F8","")</f>
      </c>
      <c r="N13" s="55" t="str">
        <f>IF(ISERROR(MATCH(Loco5,Cars!$A:$A,0)),"",VLOOKUP(Loco5,Cars!$A:$O,15))</f>
        <v> </v>
      </c>
      <c r="O13" s="56"/>
    </row>
    <row r="14" spans="1:15" ht="12.75" customHeight="1">
      <c r="A14" s="9"/>
      <c r="B14" s="6"/>
      <c r="C14" s="10"/>
      <c r="D14" s="6"/>
      <c r="E14" s="6"/>
      <c r="F14" s="6"/>
      <c r="G14" s="9"/>
      <c r="H14" s="6"/>
      <c r="I14" s="10"/>
      <c r="J14" s="6"/>
      <c r="K14" s="6"/>
      <c r="L14" s="6"/>
      <c r="M14" s="9"/>
      <c r="N14" s="6"/>
      <c r="O14" s="10"/>
    </row>
    <row r="15" spans="1:15" ht="12.75" customHeight="1">
      <c r="A15" s="9"/>
      <c r="B15" s="40" t="str">
        <f>IF(ISERROR(MATCH(Loco1,Cars!$A:$A,0)),"",VLOOKUP(Loco1,Cars!$A:$Q,17))</f>
        <v>Return to Fuel Track</v>
      </c>
      <c r="C15" s="10"/>
      <c r="D15" s="6"/>
      <c r="E15" s="40" t="str">
        <f>IF(ISERROR(MATCH(Loco2,Cars!$A:$A,0)),"",VLOOKUP(Loco2,Cars!$A:$Q,17))</f>
        <v>Return to Fuel Track</v>
      </c>
      <c r="F15" s="6"/>
      <c r="G15" s="9"/>
      <c r="H15" s="40" t="str">
        <f>IF(ISERROR(MATCH(Loco3,Cars!$A:$A,0)),"",VLOOKUP(Loco3,Cars!$A:$Q,17))</f>
        <v>Return to Fuel Track</v>
      </c>
      <c r="I15" s="10"/>
      <c r="J15" s="6"/>
      <c r="K15" s="40" t="str">
        <f>IF(ISERROR(MATCH(Loco4,Cars!$A:$A,0)),"",VLOOKUP(Loco4,Cars!$A:$Q,17))</f>
        <v>Return to Fuel Track</v>
      </c>
      <c r="L15" s="6"/>
      <c r="M15" s="9"/>
      <c r="N15" s="40">
        <f>IF(ISERROR(MATCH(Loco5,Cars!$A:$A,0)),"",VLOOKUP(Loco5,Cars!$A:$Q,17))</f>
        <v>0</v>
      </c>
      <c r="O15" s="10"/>
    </row>
    <row r="16" spans="1:15" ht="12.75" customHeight="1">
      <c r="A16" s="9"/>
      <c r="B16" s="6"/>
      <c r="C16" s="10"/>
      <c r="D16" s="6"/>
      <c r="E16" s="6"/>
      <c r="F16" s="6"/>
      <c r="G16" s="9"/>
      <c r="H16" s="6"/>
      <c r="I16" s="10"/>
      <c r="J16" s="6"/>
      <c r="K16" s="6"/>
      <c r="L16" s="6"/>
      <c r="M16" s="9"/>
      <c r="N16" s="6"/>
      <c r="O16" s="10"/>
    </row>
    <row r="17" spans="1:15" ht="12.75" customHeight="1">
      <c r="A17" s="9"/>
      <c r="B17" s="6"/>
      <c r="C17" s="10"/>
      <c r="D17" s="6"/>
      <c r="E17" s="6"/>
      <c r="F17" s="6"/>
      <c r="G17" s="9"/>
      <c r="H17" s="6"/>
      <c r="I17" s="10"/>
      <c r="J17" s="6"/>
      <c r="K17" s="6"/>
      <c r="L17" s="6"/>
      <c r="M17" s="9"/>
      <c r="N17" s="6"/>
      <c r="O17" s="10"/>
    </row>
    <row r="18" spans="1:15" ht="12.75" customHeight="1">
      <c r="A18" s="9"/>
      <c r="B18" s="6"/>
      <c r="C18" s="10"/>
      <c r="D18" s="6"/>
      <c r="E18" s="6"/>
      <c r="F18" s="6"/>
      <c r="G18" s="9"/>
      <c r="H18" s="6"/>
      <c r="I18" s="10"/>
      <c r="J18" s="6"/>
      <c r="K18" s="6"/>
      <c r="L18" s="6"/>
      <c r="M18" s="9"/>
      <c r="N18" s="6"/>
      <c r="O18" s="10"/>
    </row>
    <row r="19" spans="1:15" ht="12.75" customHeight="1">
      <c r="A19" s="9"/>
      <c r="B19" s="6"/>
      <c r="C19" s="10"/>
      <c r="D19" s="6"/>
      <c r="E19" s="6"/>
      <c r="F19" s="6"/>
      <c r="G19" s="9"/>
      <c r="H19" s="6"/>
      <c r="I19" s="10"/>
      <c r="J19" s="6"/>
      <c r="K19" s="6"/>
      <c r="L19" s="6"/>
      <c r="M19" s="9"/>
      <c r="N19" s="6"/>
      <c r="O19" s="10"/>
    </row>
    <row r="20" spans="1:15" ht="12.75" customHeight="1">
      <c r="A20" s="11"/>
      <c r="B20" s="12"/>
      <c r="C20" s="13"/>
      <c r="D20" s="12"/>
      <c r="E20" s="12"/>
      <c r="F20" s="13"/>
      <c r="G20" s="12"/>
      <c r="H20" s="12"/>
      <c r="I20" s="13"/>
      <c r="J20" s="12"/>
      <c r="K20" s="12"/>
      <c r="L20" s="13"/>
      <c r="M20" s="12"/>
      <c r="N20" s="12"/>
      <c r="O20" s="13"/>
    </row>
    <row r="21" spans="1:15" ht="12.75" customHeight="1">
      <c r="A21" s="9"/>
      <c r="B21" s="6"/>
      <c r="C21" s="10"/>
      <c r="D21" s="9"/>
      <c r="E21" s="6"/>
      <c r="F21" s="10"/>
      <c r="G21" s="9"/>
      <c r="H21" s="6"/>
      <c r="I21" s="10"/>
      <c r="J21" s="9"/>
      <c r="K21" s="6"/>
      <c r="L21" s="10"/>
      <c r="M21" s="9"/>
      <c r="N21" s="6"/>
      <c r="O21" s="10"/>
    </row>
    <row r="22" spans="1:15" ht="12.75" customHeight="1">
      <c r="A22" s="9"/>
      <c r="B22" s="6"/>
      <c r="C22" s="10"/>
      <c r="D22" s="9"/>
      <c r="E22" s="6"/>
      <c r="F22" s="10"/>
      <c r="G22" s="9"/>
      <c r="H22" s="6"/>
      <c r="I22" s="10"/>
      <c r="J22" s="9"/>
      <c r="K22" s="6"/>
      <c r="L22" s="10"/>
      <c r="M22" s="9"/>
      <c r="N22" s="6"/>
      <c r="O22" s="10"/>
    </row>
    <row r="23" spans="1:15" ht="12.75" customHeight="1">
      <c r="A23" s="9"/>
      <c r="B23" s="6"/>
      <c r="C23" s="10"/>
      <c r="D23" s="9"/>
      <c r="E23" s="6"/>
      <c r="F23" s="10"/>
      <c r="G23" s="9"/>
      <c r="H23" s="6"/>
      <c r="I23" s="10"/>
      <c r="J23" s="9"/>
      <c r="K23" s="6"/>
      <c r="L23" s="10"/>
      <c r="M23" s="9"/>
      <c r="N23" s="6"/>
      <c r="O23" s="10"/>
    </row>
    <row r="24" spans="1:15" ht="12.75" customHeight="1">
      <c r="A24" s="9"/>
      <c r="B24" s="6"/>
      <c r="C24" s="10"/>
      <c r="D24" s="9"/>
      <c r="E24" s="6"/>
      <c r="F24" s="10"/>
      <c r="G24" s="9"/>
      <c r="H24" s="6"/>
      <c r="I24" s="10"/>
      <c r="J24" s="9"/>
      <c r="K24" s="6"/>
      <c r="L24" s="10"/>
      <c r="M24" s="9"/>
      <c r="N24" s="6"/>
      <c r="O24" s="10"/>
    </row>
    <row r="25" spans="1:15" ht="12.75" customHeight="1">
      <c r="A25" s="9"/>
      <c r="B25" s="6"/>
      <c r="C25" s="10"/>
      <c r="D25" s="9"/>
      <c r="E25" s="6"/>
      <c r="F25" s="10"/>
      <c r="G25" s="9"/>
      <c r="H25" s="6"/>
      <c r="I25" s="10"/>
      <c r="J25" s="9"/>
      <c r="K25" s="6"/>
      <c r="L25" s="10"/>
      <c r="M25" s="9"/>
      <c r="N25" s="6"/>
      <c r="O25" s="10"/>
    </row>
    <row r="26" spans="1:15" ht="12.75" customHeight="1">
      <c r="A26" s="9"/>
      <c r="B26" s="6"/>
      <c r="C26" s="10"/>
      <c r="D26" s="9"/>
      <c r="E26" s="6"/>
      <c r="F26" s="10"/>
      <c r="G26" s="9"/>
      <c r="H26" s="6"/>
      <c r="I26" s="10"/>
      <c r="J26" s="9"/>
      <c r="K26" s="6"/>
      <c r="L26" s="10"/>
      <c r="M26" s="9"/>
      <c r="N26" s="6"/>
      <c r="O26" s="10"/>
    </row>
    <row r="27" spans="1:15" ht="12.75" customHeight="1">
      <c r="A27" s="9"/>
      <c r="B27" s="6"/>
      <c r="C27" s="10"/>
      <c r="D27" s="9"/>
      <c r="E27" s="6"/>
      <c r="F27" s="10"/>
      <c r="G27" s="9"/>
      <c r="H27" s="6"/>
      <c r="I27" s="10"/>
      <c r="J27" s="9"/>
      <c r="K27" s="6"/>
      <c r="L27" s="10"/>
      <c r="M27" s="9"/>
      <c r="N27" s="6"/>
      <c r="O27" s="10"/>
    </row>
    <row r="28" spans="1:15" ht="12.75" customHeight="1">
      <c r="A28" s="11"/>
      <c r="B28" s="12"/>
      <c r="C28" s="13"/>
      <c r="D28" s="11"/>
      <c r="E28" s="12"/>
      <c r="F28" s="13"/>
      <c r="G28" s="11"/>
      <c r="H28" s="12"/>
      <c r="I28" s="13"/>
      <c r="J28" s="11"/>
      <c r="K28" s="12"/>
      <c r="L28" s="13"/>
      <c r="M28" s="11"/>
      <c r="N28" s="12"/>
      <c r="O28" s="13"/>
    </row>
    <row r="29" spans="1:15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sheetProtection/>
  <mergeCells count="50">
    <mergeCell ref="N13:O13"/>
    <mergeCell ref="N9:O9"/>
    <mergeCell ref="N10:O10"/>
    <mergeCell ref="N11:O11"/>
    <mergeCell ref="N12:O12"/>
    <mergeCell ref="H12:I12"/>
    <mergeCell ref="H13:I13"/>
    <mergeCell ref="K9:L9"/>
    <mergeCell ref="K10:L10"/>
    <mergeCell ref="K11:L11"/>
    <mergeCell ref="K12:L12"/>
    <mergeCell ref="K13:L13"/>
    <mergeCell ref="H9:I9"/>
    <mergeCell ref="H10:I10"/>
    <mergeCell ref="H11:I11"/>
    <mergeCell ref="B12:C12"/>
    <mergeCell ref="B13:C13"/>
    <mergeCell ref="E9:F9"/>
    <mergeCell ref="E10:F10"/>
    <mergeCell ref="E11:F11"/>
    <mergeCell ref="E12:F12"/>
    <mergeCell ref="E13:F13"/>
    <mergeCell ref="B9:C9"/>
    <mergeCell ref="B10:C10"/>
    <mergeCell ref="B11:C11"/>
    <mergeCell ref="K5:L5"/>
    <mergeCell ref="K6:L6"/>
    <mergeCell ref="K7:L7"/>
    <mergeCell ref="K8:L8"/>
    <mergeCell ref="N5:O5"/>
    <mergeCell ref="N6:O6"/>
    <mergeCell ref="N7:O7"/>
    <mergeCell ref="N8:O8"/>
    <mergeCell ref="B8:C8"/>
    <mergeCell ref="B7:C7"/>
    <mergeCell ref="E7:F7"/>
    <mergeCell ref="E8:F8"/>
    <mergeCell ref="H6:I6"/>
    <mergeCell ref="H7:I7"/>
    <mergeCell ref="H8:I8"/>
    <mergeCell ref="O2:O3"/>
    <mergeCell ref="B5:C5"/>
    <mergeCell ref="B6:C6"/>
    <mergeCell ref="E5:F5"/>
    <mergeCell ref="E6:F6"/>
    <mergeCell ref="C2:C3"/>
    <mergeCell ref="F2:F3"/>
    <mergeCell ref="I2:I3"/>
    <mergeCell ref="L2:L3"/>
    <mergeCell ref="H5:I5"/>
  </mergeCells>
  <printOptions/>
  <pageMargins left="0.2" right="0.19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pane ySplit="1" topLeftCell="A20" activePane="bottomLeft" state="frozen"/>
      <selection pane="topLeft" activeCell="B1" sqref="B1"/>
      <selection pane="bottomLeft" activeCell="E45" sqref="E45"/>
    </sheetView>
  </sheetViews>
  <sheetFormatPr defaultColWidth="9.140625" defaultRowHeight="12.75"/>
  <cols>
    <col min="1" max="1" width="8.140625" style="22" customWidth="1"/>
    <col min="2" max="2" width="4.8515625" style="22" customWidth="1"/>
    <col min="3" max="3" width="6.28125" style="22" customWidth="1"/>
    <col min="4" max="4" width="8.421875" style="22" customWidth="1"/>
    <col min="5" max="5" width="10.28125" style="22" customWidth="1"/>
    <col min="6" max="19" width="7.140625" style="22" customWidth="1"/>
  </cols>
  <sheetData>
    <row r="1" spans="1:19" ht="12.75">
      <c r="A1" s="22" t="s">
        <v>141</v>
      </c>
      <c r="B1" s="22" t="s">
        <v>140</v>
      </c>
      <c r="C1" s="22" t="s">
        <v>131</v>
      </c>
      <c r="D1" s="22" t="s">
        <v>32</v>
      </c>
      <c r="E1" s="22" t="s">
        <v>33</v>
      </c>
      <c r="F1" s="22" t="s">
        <v>24</v>
      </c>
      <c r="G1" s="22" t="s">
        <v>57</v>
      </c>
      <c r="H1" s="22" t="s">
        <v>5</v>
      </c>
      <c r="I1" s="22" t="s">
        <v>59</v>
      </c>
      <c r="J1" s="22" t="s">
        <v>56</v>
      </c>
      <c r="K1" s="22" t="s">
        <v>137</v>
      </c>
      <c r="L1" s="22" t="s">
        <v>132</v>
      </c>
      <c r="M1" s="22" t="s">
        <v>133</v>
      </c>
      <c r="N1" s="22" t="s">
        <v>134</v>
      </c>
      <c r="O1" s="22" t="s">
        <v>135</v>
      </c>
      <c r="P1" s="22" t="s">
        <v>138</v>
      </c>
      <c r="Q1" s="22" t="s">
        <v>142</v>
      </c>
      <c r="R1" s="22" t="s">
        <v>136</v>
      </c>
      <c r="S1" s="22" t="s">
        <v>139</v>
      </c>
    </row>
    <row r="2" spans="1:19" s="31" customFormat="1" ht="12" customHeight="1">
      <c r="A2" s="30">
        <v>38</v>
      </c>
      <c r="B2" s="30">
        <v>56</v>
      </c>
      <c r="C2" s="30" t="str">
        <f>IF(ISERROR(MATCH(B2,Cars!$A:$A,0)),"",VLOOKUP(B2,Cars!$A:$F,2))</f>
        <v>XM</v>
      </c>
      <c r="D2" s="30" t="str">
        <f>IF(ISERROR(MATCH(B2,Cars!$A:$A,0)),"",VLOOKUP(B2,Cars!$A:$F,3))</f>
        <v>MILW</v>
      </c>
      <c r="E2" s="30">
        <f>IF(ISERROR(MATCH(B2,Cars!$A:$A,0)),"",VLOOKUP(B2,Cars!$A:$F,4))</f>
        <v>56538</v>
      </c>
      <c r="F2" s="30">
        <v>1</v>
      </c>
      <c r="G2"/>
      <c r="H2"/>
      <c r="I2"/>
      <c r="J2"/>
      <c r="K2" s="30">
        <v>1</v>
      </c>
      <c r="L2"/>
      <c r="M2"/>
      <c r="N2"/>
      <c r="O2"/>
      <c r="P2"/>
      <c r="Q2"/>
      <c r="R2"/>
      <c r="S2"/>
    </row>
    <row r="3" spans="1:19" s="31" customFormat="1" ht="12" customHeight="1">
      <c r="A3" s="30">
        <v>2</v>
      </c>
      <c r="B3" s="30">
        <v>68</v>
      </c>
      <c r="C3" s="30" t="str">
        <f>IF(ISERROR(MATCH(B3,Cars!$A:$A,0)),"",VLOOKUP(B3,Cars!$A:$F,2))</f>
        <v>XM</v>
      </c>
      <c r="D3" s="30" t="str">
        <f>IF(ISERROR(MATCH(B3,Cars!$A:$A,0)),"",VLOOKUP(B3,Cars!$A:$F,3))</f>
        <v>ATSF</v>
      </c>
      <c r="E3" s="30">
        <f>IF(ISERROR(MATCH(B3,Cars!$A:$A,0)),"",VLOOKUP(B3,Cars!$A:$F,4))</f>
        <v>520979</v>
      </c>
      <c r="F3"/>
      <c r="G3"/>
      <c r="H3" s="30">
        <v>1</v>
      </c>
      <c r="I3"/>
      <c r="J3"/>
      <c r="K3" s="30">
        <v>1</v>
      </c>
      <c r="L3"/>
      <c r="M3"/>
      <c r="N3"/>
      <c r="O3"/>
      <c r="P3"/>
      <c r="Q3"/>
      <c r="R3"/>
      <c r="S3"/>
    </row>
    <row r="4" spans="1:19" s="31" customFormat="1" ht="12" customHeight="1">
      <c r="A4" s="30">
        <v>41</v>
      </c>
      <c r="B4" s="30">
        <v>9</v>
      </c>
      <c r="C4" s="30" t="str">
        <f>IF(ISERROR(MATCH(B4,Cars!$A:$A,0)),"",VLOOKUP(B4,Cars!$A:$F,2))</f>
        <v>GB</v>
      </c>
      <c r="D4" s="30" t="str">
        <f>IF(ISERROR(MATCH(B4,Cars!$A:$A,0)),"",VLOOKUP(B4,Cars!$A:$F,3))</f>
        <v>BN</v>
      </c>
      <c r="E4" s="30">
        <f>IF(ISERROR(MATCH(B4,Cars!$A:$A,0)),"",VLOOKUP(B4,Cars!$A:$F,4))</f>
        <v>566191</v>
      </c>
      <c r="F4"/>
      <c r="G4"/>
      <c r="H4"/>
      <c r="I4" s="30">
        <v>1</v>
      </c>
      <c r="J4"/>
      <c r="K4" s="30">
        <v>1</v>
      </c>
      <c r="L4"/>
      <c r="M4"/>
      <c r="N4"/>
      <c r="O4"/>
      <c r="P4"/>
      <c r="Q4"/>
      <c r="R4"/>
      <c r="S4"/>
    </row>
    <row r="5" spans="1:19" s="31" customFormat="1" ht="12" customHeight="1">
      <c r="A5" s="30">
        <v>58</v>
      </c>
      <c r="B5" s="30">
        <v>38</v>
      </c>
      <c r="C5" s="30" t="str">
        <f>IF(ISERROR(MATCH(B5,Cars!$A:$A,0)),"",VLOOKUP(B5,Cars!$A:$F,2))</f>
        <v>XM</v>
      </c>
      <c r="D5" s="30" t="str">
        <f>IF(ISERROR(MATCH(B5,Cars!$A:$A,0)),"",VLOOKUP(B5,Cars!$A:$F,3))</f>
        <v>SLSF</v>
      </c>
      <c r="E5" s="30">
        <f>IF(ISERROR(MATCH(B5,Cars!$A:$A,0)),"",VLOOKUP(B5,Cars!$A:$F,4))</f>
        <v>42044</v>
      </c>
      <c r="F5"/>
      <c r="G5"/>
      <c r="H5"/>
      <c r="I5"/>
      <c r="J5" s="30">
        <v>1</v>
      </c>
      <c r="K5" s="30">
        <v>1</v>
      </c>
      <c r="L5"/>
      <c r="M5"/>
      <c r="N5"/>
      <c r="O5"/>
      <c r="P5"/>
      <c r="Q5"/>
      <c r="R5"/>
      <c r="S5"/>
    </row>
    <row r="6" spans="1:19" s="31" customFormat="1" ht="12" customHeight="1">
      <c r="A6" s="30">
        <v>26</v>
      </c>
      <c r="B6" s="30">
        <v>35</v>
      </c>
      <c r="C6" s="30" t="str">
        <f>IF(ISERROR(MATCH(B6,Cars!$A:$A,0)),"",VLOOKUP(B6,Cars!$A:$F,2))</f>
        <v>GB</v>
      </c>
      <c r="D6" s="30" t="str">
        <f>IF(ISERROR(MATCH(B6,Cars!$A:$A,0)),"",VLOOKUP(B6,Cars!$A:$F,3))</f>
        <v>SLSF</v>
      </c>
      <c r="E6" s="30">
        <f>IF(ISERROR(MATCH(B6,Cars!$A:$A,0)),"",VLOOKUP(B6,Cars!$A:$F,4))</f>
        <v>61624</v>
      </c>
      <c r="F6"/>
      <c r="G6"/>
      <c r="H6"/>
      <c r="I6"/>
      <c r="J6" s="30">
        <v>1</v>
      </c>
      <c r="K6" s="30">
        <v>1</v>
      </c>
      <c r="L6"/>
      <c r="M6"/>
      <c r="N6"/>
      <c r="O6"/>
      <c r="P6"/>
      <c r="Q6"/>
      <c r="R6"/>
      <c r="S6"/>
    </row>
    <row r="7" spans="1:19" s="31" customFormat="1" ht="12" customHeight="1">
      <c r="A7" s="30">
        <v>57</v>
      </c>
      <c r="B7" s="30">
        <v>21</v>
      </c>
      <c r="C7" s="30" t="str">
        <f>IF(ISERROR(MATCH(B7,Cars!$A:$A,0)),"",VLOOKUP(B7,Cars!$A:$F,2))</f>
        <v>XM</v>
      </c>
      <c r="D7" s="30" t="str">
        <f>IF(ISERROR(MATCH(B7,Cars!$A:$A,0)),"",VLOOKUP(B7,Cars!$A:$F,3))</f>
        <v>MILW</v>
      </c>
      <c r="E7" s="30">
        <f>IF(ISERROR(MATCH(B7,Cars!$A:$A,0)),"",VLOOKUP(B7,Cars!$A:$F,4))</f>
        <v>51186</v>
      </c>
      <c r="F7" s="30">
        <v>1</v>
      </c>
      <c r="G7"/>
      <c r="H7"/>
      <c r="I7"/>
      <c r="J7"/>
      <c r="K7"/>
      <c r="L7" s="30">
        <v>1</v>
      </c>
      <c r="M7"/>
      <c r="N7"/>
      <c r="O7"/>
      <c r="P7"/>
      <c r="Q7"/>
      <c r="R7"/>
      <c r="S7"/>
    </row>
    <row r="8" spans="1:19" s="31" customFormat="1" ht="12" customHeight="1">
      <c r="A8" s="30">
        <v>7</v>
      </c>
      <c r="B8" s="30">
        <v>5</v>
      </c>
      <c r="C8" s="30" t="str">
        <f>IF(ISERROR(MATCH(B8,Cars!$A:$A,0)),"",VLOOKUP(B8,Cars!$A:$F,2))</f>
        <v>XM</v>
      </c>
      <c r="D8" s="30" t="str">
        <f>IF(ISERROR(MATCH(B8,Cars!$A:$A,0)),"",VLOOKUP(B8,Cars!$A:$F,3))</f>
        <v>KCS</v>
      </c>
      <c r="E8" s="30">
        <f>IF(ISERROR(MATCH(B8,Cars!$A:$A,0)),"",VLOOKUP(B8,Cars!$A:$F,4))</f>
        <v>1368</v>
      </c>
      <c r="F8"/>
      <c r="G8" s="30">
        <v>1</v>
      </c>
      <c r="H8"/>
      <c r="I8"/>
      <c r="J8"/>
      <c r="K8"/>
      <c r="L8" s="30">
        <v>1</v>
      </c>
      <c r="M8"/>
      <c r="N8"/>
      <c r="O8"/>
      <c r="P8"/>
      <c r="Q8"/>
      <c r="R8"/>
      <c r="S8"/>
    </row>
    <row r="9" spans="1:19" s="31" customFormat="1" ht="12" customHeight="1">
      <c r="A9" s="30">
        <v>59</v>
      </c>
      <c r="B9" s="30">
        <v>41</v>
      </c>
      <c r="C9" s="30" t="str">
        <f>IF(ISERROR(MATCH(B9,Cars!$A:$A,0)),"",VLOOKUP(B9,Cars!$A:$F,2))</f>
        <v>XM</v>
      </c>
      <c r="D9" s="30" t="str">
        <f>IF(ISERROR(MATCH(B9,Cars!$A:$A,0)),"",VLOOKUP(B9,Cars!$A:$F,3))</f>
        <v>SOO</v>
      </c>
      <c r="E9" s="30">
        <f>IF(ISERROR(MATCH(B9,Cars!$A:$A,0)),"",VLOOKUP(B9,Cars!$A:$F,4))</f>
        <v>177878</v>
      </c>
      <c r="F9"/>
      <c r="G9" s="30">
        <v>1</v>
      </c>
      <c r="H9"/>
      <c r="I9"/>
      <c r="J9"/>
      <c r="K9"/>
      <c r="L9" s="30">
        <v>1</v>
      </c>
      <c r="M9"/>
      <c r="N9"/>
      <c r="O9"/>
      <c r="P9"/>
      <c r="Q9"/>
      <c r="R9"/>
      <c r="S9"/>
    </row>
    <row r="10" spans="1:19" s="31" customFormat="1" ht="12" customHeight="1">
      <c r="A10" s="30">
        <v>61</v>
      </c>
      <c r="B10" s="30">
        <v>58</v>
      </c>
      <c r="C10" s="30" t="str">
        <f>IF(ISERROR(MATCH(B10,Cars!$A:$A,0)),"",VLOOKUP(B10,Cars!$A:$F,2))</f>
        <v>XM</v>
      </c>
      <c r="D10" s="30" t="str">
        <f>IF(ISERROR(MATCH(B10,Cars!$A:$A,0)),"",VLOOKUP(B10,Cars!$A:$F,3))</f>
        <v>BN</v>
      </c>
      <c r="E10" s="30">
        <f>IF(ISERROR(MATCH(B10,Cars!$A:$A,0)),"",VLOOKUP(B10,Cars!$A:$F,4))</f>
        <v>107295</v>
      </c>
      <c r="F10"/>
      <c r="G10"/>
      <c r="H10"/>
      <c r="I10" s="30">
        <v>1</v>
      </c>
      <c r="J10"/>
      <c r="K10"/>
      <c r="L10" s="30">
        <v>1</v>
      </c>
      <c r="M10"/>
      <c r="N10"/>
      <c r="O10"/>
      <c r="P10"/>
      <c r="Q10"/>
      <c r="R10"/>
      <c r="S10"/>
    </row>
    <row r="11" spans="1:19" s="31" customFormat="1" ht="12" customHeight="1">
      <c r="A11" s="30">
        <v>62</v>
      </c>
      <c r="B11" s="30">
        <v>69</v>
      </c>
      <c r="C11" s="30" t="str">
        <f>IF(ISERROR(MATCH(B11,Cars!$A:$A,0)),"",VLOOKUP(B11,Cars!$A:$F,2))</f>
        <v>XM</v>
      </c>
      <c r="D11" s="30" t="str">
        <f>IF(ISERROR(MATCH(B11,Cars!$A:$A,0)),"",VLOOKUP(B11,Cars!$A:$F,3))</f>
        <v>RI</v>
      </c>
      <c r="E11" s="30">
        <f>IF(ISERROR(MATCH(B11,Cars!$A:$A,0)),"",VLOOKUP(B11,Cars!$A:$F,4))</f>
        <v>36102</v>
      </c>
      <c r="F11"/>
      <c r="G11"/>
      <c r="H11"/>
      <c r="I11"/>
      <c r="J11" s="30">
        <v>1</v>
      </c>
      <c r="K11" s="30"/>
      <c r="L11" s="30">
        <v>1</v>
      </c>
      <c r="M11"/>
      <c r="N11"/>
      <c r="O11"/>
      <c r="P11"/>
      <c r="Q11"/>
      <c r="R11"/>
      <c r="S11"/>
    </row>
    <row r="12" spans="1:19" s="31" customFormat="1" ht="12" customHeight="1">
      <c r="A12" s="30">
        <v>39</v>
      </c>
      <c r="B12" s="30">
        <v>19</v>
      </c>
      <c r="C12" s="30" t="str">
        <f>IF(ISERROR(MATCH(B12,Cars!$A:$A,0)),"",VLOOKUP(B12,Cars!$A:$F,2))</f>
        <v>HM</v>
      </c>
      <c r="D12" s="30" t="str">
        <f>IF(ISERROR(MATCH(B12,Cars!$A:$A,0)),"",VLOOKUP(B12,Cars!$A:$F,3))</f>
        <v>MILW</v>
      </c>
      <c r="E12" s="30">
        <f>IF(ISERROR(MATCH(B12,Cars!$A:$A,0)),"",VLOOKUP(B12,Cars!$A:$F,4))</f>
        <v>96772</v>
      </c>
      <c r="F12" s="30">
        <v>1</v>
      </c>
      <c r="G12"/>
      <c r="H12"/>
      <c r="I12"/>
      <c r="J12"/>
      <c r="K12"/>
      <c r="L12"/>
      <c r="M12" s="30">
        <v>1</v>
      </c>
      <c r="N12"/>
      <c r="O12"/>
      <c r="P12"/>
      <c r="Q12"/>
      <c r="R12"/>
      <c r="S12"/>
    </row>
    <row r="13" spans="1:19" s="31" customFormat="1" ht="12" customHeight="1">
      <c r="A13" s="30">
        <v>19</v>
      </c>
      <c r="B13" s="30">
        <v>20</v>
      </c>
      <c r="C13" s="30" t="str">
        <f>IF(ISERROR(MATCH(B13,Cars!$A:$A,0)),"",VLOOKUP(B13,Cars!$A:$F,2))</f>
        <v>HM</v>
      </c>
      <c r="D13" s="30" t="str">
        <f>IF(ISERROR(MATCH(B13,Cars!$A:$A,0)),"",VLOOKUP(B13,Cars!$A:$F,3))</f>
        <v>MILW</v>
      </c>
      <c r="E13" s="30">
        <f>IF(ISERROR(MATCH(B13,Cars!$A:$A,0)),"",VLOOKUP(B13,Cars!$A:$F,4))</f>
        <v>96772</v>
      </c>
      <c r="F13" s="30">
        <v>1</v>
      </c>
      <c r="G13"/>
      <c r="H13"/>
      <c r="I13"/>
      <c r="J13"/>
      <c r="K13"/>
      <c r="L13"/>
      <c r="M13" s="30">
        <v>1</v>
      </c>
      <c r="N13"/>
      <c r="O13"/>
      <c r="P13"/>
      <c r="Q13"/>
      <c r="R13"/>
      <c r="S13"/>
    </row>
    <row r="14" spans="1:19" s="31" customFormat="1" ht="12" customHeight="1">
      <c r="A14" s="30">
        <v>5</v>
      </c>
      <c r="B14" s="30">
        <v>1</v>
      </c>
      <c r="C14" s="30" t="str">
        <f>IF(ISERROR(MATCH(B14,Cars!$A:$A,0)),"",VLOOKUP(B14,Cars!$A:$F,2))</f>
        <v>HM</v>
      </c>
      <c r="D14" s="30" t="str">
        <f>IF(ISERROR(MATCH(B14,Cars!$A:$A,0)),"",VLOOKUP(B14,Cars!$A:$F,3))</f>
        <v>ATSF</v>
      </c>
      <c r="E14" s="30">
        <f>IF(ISERROR(MATCH(B14,Cars!$A:$A,0)),"",VLOOKUP(B14,Cars!$A:$F,4))</f>
        <v>183180</v>
      </c>
      <c r="F14"/>
      <c r="G14"/>
      <c r="H14" s="30">
        <v>1</v>
      </c>
      <c r="I14"/>
      <c r="J14"/>
      <c r="K14"/>
      <c r="L14"/>
      <c r="M14" s="30">
        <v>1</v>
      </c>
      <c r="N14"/>
      <c r="O14"/>
      <c r="P14"/>
      <c r="Q14"/>
      <c r="R14"/>
      <c r="S14"/>
    </row>
    <row r="15" spans="1:19" s="31" customFormat="1" ht="12" customHeight="1">
      <c r="A15" s="30">
        <v>11</v>
      </c>
      <c r="B15" s="30">
        <v>23</v>
      </c>
      <c r="C15" s="30" t="str">
        <f>IF(ISERROR(MATCH(B15,Cars!$A:$A,0)),"",VLOOKUP(B15,Cars!$A:$F,2))</f>
        <v>GT</v>
      </c>
      <c r="D15" s="30" t="str">
        <f>IF(ISERROR(MATCH(B15,Cars!$A:$A,0)),"",VLOOKUP(B15,Cars!$A:$F,3))</f>
        <v>BN</v>
      </c>
      <c r="E15" s="30">
        <f>IF(ISERROR(MATCH(B15,Cars!$A:$A,0)),"",VLOOKUP(B15,Cars!$A:$F,4))</f>
        <v>574535</v>
      </c>
      <c r="F15"/>
      <c r="G15"/>
      <c r="H15"/>
      <c r="I15" s="30">
        <v>1</v>
      </c>
      <c r="J15"/>
      <c r="K15"/>
      <c r="L15"/>
      <c r="M15" s="30">
        <v>1</v>
      </c>
      <c r="N15"/>
      <c r="O15"/>
      <c r="P15"/>
      <c r="Q15"/>
      <c r="R15"/>
      <c r="S15"/>
    </row>
    <row r="16" spans="1:19" s="31" customFormat="1" ht="12" customHeight="1">
      <c r="A16" s="30">
        <v>33</v>
      </c>
      <c r="B16" s="30">
        <v>63</v>
      </c>
      <c r="C16" s="30" t="str">
        <f>IF(ISERROR(MATCH(B16,Cars!$A:$A,0)),"",VLOOKUP(B16,Cars!$A:$F,2))</f>
        <v>TM</v>
      </c>
      <c r="D16" s="30" t="str">
        <f>IF(ISERROR(MATCH(B16,Cars!$A:$A,0)),"",VLOOKUP(B16,Cars!$A:$F,3))</f>
        <v>RTCX</v>
      </c>
      <c r="E16" s="30">
        <f>IF(ISERROR(MATCH(B16,Cars!$A:$A,0)),"",VLOOKUP(B16,Cars!$A:$F,4))</f>
        <v>237103</v>
      </c>
      <c r="F16" s="30">
        <v>1</v>
      </c>
      <c r="G16"/>
      <c r="H16"/>
      <c r="I16"/>
      <c r="J16"/>
      <c r="K16"/>
      <c r="L16"/>
      <c r="M16"/>
      <c r="N16" s="30">
        <v>1</v>
      </c>
      <c r="O16"/>
      <c r="P16"/>
      <c r="Q16"/>
      <c r="R16"/>
      <c r="S16"/>
    </row>
    <row r="17" spans="1:19" s="31" customFormat="1" ht="12" customHeight="1">
      <c r="A17" s="30">
        <v>55</v>
      </c>
      <c r="B17" s="30">
        <v>59</v>
      </c>
      <c r="C17" s="30" t="str">
        <f>IF(ISERROR(MATCH(B17,Cars!$A:$A,0)),"",VLOOKUP(B17,Cars!$A:$F,2))</f>
        <v>TM</v>
      </c>
      <c r="D17" s="30" t="str">
        <f>IF(ISERROR(MATCH(B17,Cars!$A:$A,0)),"",VLOOKUP(B17,Cars!$A:$F,3))</f>
        <v>SHPX</v>
      </c>
      <c r="E17" s="30">
        <f>IF(ISERROR(MATCH(B17,Cars!$A:$A,0)),"",VLOOKUP(B17,Cars!$A:$F,4))</f>
        <v>43</v>
      </c>
      <c r="F17" s="30">
        <v>1</v>
      </c>
      <c r="G17"/>
      <c r="H17" s="32" t="s">
        <v>144</v>
      </c>
      <c r="I17"/>
      <c r="J17"/>
      <c r="K17"/>
      <c r="L17"/>
      <c r="M17"/>
      <c r="N17" s="30">
        <v>1</v>
      </c>
      <c r="O17"/>
      <c r="P17"/>
      <c r="Q17"/>
      <c r="R17"/>
      <c r="S17"/>
    </row>
    <row r="18" spans="1:19" s="31" customFormat="1" ht="12" customHeight="1">
      <c r="A18" s="30">
        <v>14</v>
      </c>
      <c r="B18" s="30">
        <v>64</v>
      </c>
      <c r="C18" s="30" t="str">
        <f>IF(ISERROR(MATCH(B18,Cars!$A:$A,0)),"",VLOOKUP(B18,Cars!$A:$F,2))</f>
        <v>TM</v>
      </c>
      <c r="D18" s="30" t="str">
        <f>IF(ISERROR(MATCH(B18,Cars!$A:$A,0)),"",VLOOKUP(B18,Cars!$A:$F,3))</f>
        <v>ACFX</v>
      </c>
      <c r="E18" s="30">
        <f>IF(ISERROR(MATCH(B18,Cars!$A:$A,0)),"",VLOOKUP(B18,Cars!$A:$F,4))</f>
        <v>84016</v>
      </c>
      <c r="F18"/>
      <c r="G18"/>
      <c r="H18"/>
      <c r="I18" s="30">
        <v>1</v>
      </c>
      <c r="J18"/>
      <c r="K18"/>
      <c r="L18"/>
      <c r="M18"/>
      <c r="N18" s="30">
        <v>1</v>
      </c>
      <c r="O18"/>
      <c r="P18"/>
      <c r="Q18"/>
      <c r="R18"/>
      <c r="S18"/>
    </row>
    <row r="19" spans="1:19" s="31" customFormat="1" ht="12" customHeight="1">
      <c r="A19" s="30">
        <v>24</v>
      </c>
      <c r="B19" s="30">
        <v>37</v>
      </c>
      <c r="C19" s="30" t="str">
        <f>IF(ISERROR(MATCH(B19,Cars!$A:$A,0)),"",VLOOKUP(B19,Cars!$A:$F,2))</f>
        <v>TM</v>
      </c>
      <c r="D19" s="30" t="str">
        <f>IF(ISERROR(MATCH(B19,Cars!$A:$A,0)),"",VLOOKUP(B19,Cars!$A:$F,3))</f>
        <v>SLSF</v>
      </c>
      <c r="E19" s="30">
        <f>IF(ISERROR(MATCH(B19,Cars!$A:$A,0)),"",VLOOKUP(B19,Cars!$A:$F,4))</f>
        <v>191020</v>
      </c>
      <c r="F19"/>
      <c r="G19"/>
      <c r="H19"/>
      <c r="I19"/>
      <c r="J19" s="30">
        <v>1</v>
      </c>
      <c r="K19"/>
      <c r="L19"/>
      <c r="M19"/>
      <c r="N19" s="30">
        <v>1</v>
      </c>
      <c r="O19"/>
      <c r="P19"/>
      <c r="Q19" s="30"/>
      <c r="R19"/>
      <c r="S19"/>
    </row>
    <row r="20" spans="1:19" s="31" customFormat="1" ht="12" customHeight="1">
      <c r="A20" s="30">
        <v>15</v>
      </c>
      <c r="B20" s="30">
        <v>15</v>
      </c>
      <c r="C20" s="30" t="str">
        <f>IF(ISERROR(MATCH(B20,Cars!$A:$A,0)),"",VLOOKUP(B20,Cars!$A:$F,2))</f>
        <v>XM</v>
      </c>
      <c r="D20" s="30" t="str">
        <f>IF(ISERROR(MATCH(B20,Cars!$A:$A,0)),"",VLOOKUP(B20,Cars!$A:$F,3))</f>
        <v>MILW</v>
      </c>
      <c r="E20" s="30">
        <f>IF(ISERROR(MATCH(B20,Cars!$A:$A,0)),"",VLOOKUP(B20,Cars!$A:$F,4))</f>
        <v>3891</v>
      </c>
      <c r="F20" s="30">
        <v>1</v>
      </c>
      <c r="G20"/>
      <c r="H20"/>
      <c r="I20"/>
      <c r="J20"/>
      <c r="K20"/>
      <c r="L20"/>
      <c r="M20"/>
      <c r="N20"/>
      <c r="O20" s="30">
        <v>1</v>
      </c>
      <c r="P20"/>
      <c r="Q20"/>
      <c r="R20"/>
      <c r="S20"/>
    </row>
    <row r="21" spans="1:19" s="31" customFormat="1" ht="12" customHeight="1">
      <c r="A21" s="30">
        <v>27</v>
      </c>
      <c r="B21" s="30">
        <v>42</v>
      </c>
      <c r="C21" s="30" t="str">
        <f>IF(ISERROR(MATCH(B21,Cars!$A:$A,0)),"",VLOOKUP(B21,Cars!$A:$F,2))</f>
        <v>XM</v>
      </c>
      <c r="D21" s="30" t="str">
        <f>IF(ISERROR(MATCH(B21,Cars!$A:$A,0)),"",VLOOKUP(B21,Cars!$A:$F,3))</f>
        <v>KCS</v>
      </c>
      <c r="E21" s="30">
        <f>IF(ISERROR(MATCH(B21,Cars!$A:$A,0)),"",VLOOKUP(B21,Cars!$A:$F,4))</f>
        <v>20855</v>
      </c>
      <c r="F21"/>
      <c r="G21" s="30">
        <v>1</v>
      </c>
      <c r="H21"/>
      <c r="I21"/>
      <c r="J21"/>
      <c r="K21"/>
      <c r="L21"/>
      <c r="M21"/>
      <c r="N21"/>
      <c r="O21" s="30">
        <v>1</v>
      </c>
      <c r="P21"/>
      <c r="Q21"/>
      <c r="R21"/>
      <c r="S21"/>
    </row>
    <row r="22" spans="1:19" s="31" customFormat="1" ht="12" customHeight="1">
      <c r="A22" s="30">
        <v>8</v>
      </c>
      <c r="B22" s="30">
        <v>6</v>
      </c>
      <c r="C22" s="30" t="str">
        <f>IF(ISERROR(MATCH(B22,Cars!$A:$A,0)),"",VLOOKUP(B22,Cars!$A:$F,2))</f>
        <v>XM</v>
      </c>
      <c r="D22" s="30" t="str">
        <f>IF(ISERROR(MATCH(B22,Cars!$A:$A,0)),"",VLOOKUP(B22,Cars!$A:$F,3))</f>
        <v>KCS</v>
      </c>
      <c r="E22" s="30">
        <f>IF(ISERROR(MATCH(B22,Cars!$A:$A,0)),"",VLOOKUP(B22,Cars!$A:$F,4))</f>
        <v>20897</v>
      </c>
      <c r="F22"/>
      <c r="G22" s="30">
        <v>1</v>
      </c>
      <c r="H22"/>
      <c r="I22"/>
      <c r="J22"/>
      <c r="K22"/>
      <c r="L22"/>
      <c r="M22"/>
      <c r="N22"/>
      <c r="O22" s="30">
        <v>1</v>
      </c>
      <c r="P22"/>
      <c r="Q22"/>
      <c r="R22"/>
      <c r="S22"/>
    </row>
    <row r="23" spans="1:19" s="31" customFormat="1" ht="12" customHeight="1">
      <c r="A23" s="30">
        <v>1</v>
      </c>
      <c r="B23" s="30">
        <v>71</v>
      </c>
      <c r="C23" s="30" t="str">
        <f>IF(ISERROR(MATCH(B23,Cars!$A:$A,0)),"",VLOOKUP(B23,Cars!$A:$F,2))</f>
        <v>XM</v>
      </c>
      <c r="D23" s="30" t="str">
        <f>IF(ISERROR(MATCH(B23,Cars!$A:$A,0)),"",VLOOKUP(B23,Cars!$A:$F,3))</f>
        <v>RBOX</v>
      </c>
      <c r="E23" s="30">
        <f>IF(ISERROR(MATCH(B23,Cars!$A:$A,0)),"",VLOOKUP(B23,Cars!$A:$F,4))</f>
        <v>33677</v>
      </c>
      <c r="F23"/>
      <c r="G23"/>
      <c r="H23" s="30">
        <v>1</v>
      </c>
      <c r="I23"/>
      <c r="J23"/>
      <c r="K23"/>
      <c r="L23"/>
      <c r="M23"/>
      <c r="N23"/>
      <c r="O23" s="30">
        <v>1</v>
      </c>
      <c r="P23"/>
      <c r="Q23"/>
      <c r="R23"/>
      <c r="S23"/>
    </row>
    <row r="24" spans="1:19" s="31" customFormat="1" ht="12" customHeight="1">
      <c r="A24" s="30">
        <v>30</v>
      </c>
      <c r="B24" s="30">
        <v>4</v>
      </c>
      <c r="C24" s="30" t="str">
        <f>IF(ISERROR(MATCH(B24,Cars!$A:$A,0)),"",VLOOKUP(B24,Cars!$A:$F,2))</f>
        <v>XM</v>
      </c>
      <c r="D24" s="30" t="str">
        <f>IF(ISERROR(MATCH(B24,Cars!$A:$A,0)),"",VLOOKUP(B24,Cars!$A:$F,3))</f>
        <v>SLSF</v>
      </c>
      <c r="E24" s="30">
        <f>IF(ISERROR(MATCH(B24,Cars!$A:$A,0)),"",VLOOKUP(B24,Cars!$A:$F,4))</f>
        <v>42106</v>
      </c>
      <c r="F24"/>
      <c r="G24"/>
      <c r="H24"/>
      <c r="I24"/>
      <c r="J24" s="30">
        <v>1</v>
      </c>
      <c r="K24"/>
      <c r="L24"/>
      <c r="M24"/>
      <c r="N24"/>
      <c r="O24" s="30">
        <v>1</v>
      </c>
      <c r="P24"/>
      <c r="Q24"/>
      <c r="R24"/>
      <c r="S24"/>
    </row>
    <row r="25" spans="1:19" s="31" customFormat="1" ht="12" customHeight="1">
      <c r="A25" s="30">
        <v>29</v>
      </c>
      <c r="B25" s="30">
        <v>27</v>
      </c>
      <c r="C25" s="30" t="str">
        <f>IF(ISERROR(MATCH(B25,Cars!$A:$A,0)),"",VLOOKUP(B25,Cars!$A:$F,2))</f>
        <v>RP</v>
      </c>
      <c r="D25" s="30" t="str">
        <f>IF(ISERROR(MATCH(B25,Cars!$A:$A,0)),"",VLOOKUP(B25,Cars!$A:$F,3))</f>
        <v>URTX</v>
      </c>
      <c r="E25" s="30">
        <f>IF(ISERROR(MATCH(B25,Cars!$A:$A,0)),"",VLOOKUP(B25,Cars!$A:$F,4))</f>
        <v>818</v>
      </c>
      <c r="F25" s="30">
        <v>1</v>
      </c>
      <c r="G25"/>
      <c r="H25"/>
      <c r="I25"/>
      <c r="J25"/>
      <c r="K25"/>
      <c r="L25"/>
      <c r="M25"/>
      <c r="N25"/>
      <c r="O25"/>
      <c r="P25" s="30">
        <v>1</v>
      </c>
      <c r="Q25"/>
      <c r="R25"/>
      <c r="S25"/>
    </row>
    <row r="26" spans="1:19" s="31" customFormat="1" ht="12" customHeight="1">
      <c r="A26" s="30">
        <v>54</v>
      </c>
      <c r="B26" s="30">
        <v>31</v>
      </c>
      <c r="C26" s="30" t="str">
        <f>IF(ISERROR(MATCH(B26,Cars!$A:$A,0)),"",VLOOKUP(B26,Cars!$A:$F,2))</f>
        <v>RP</v>
      </c>
      <c r="D26" s="30" t="str">
        <f>IF(ISERROR(MATCH(B26,Cars!$A:$A,0)),"",VLOOKUP(B26,Cars!$A:$F,3))</f>
        <v>MILW</v>
      </c>
      <c r="E26" s="30">
        <f>IF(ISERROR(MATCH(B26,Cars!$A:$A,0)),"",VLOOKUP(B26,Cars!$A:$F,4))</f>
        <v>9991</v>
      </c>
      <c r="F26" s="30">
        <v>1</v>
      </c>
      <c r="G26"/>
      <c r="H26"/>
      <c r="I26"/>
      <c r="J26"/>
      <c r="K26"/>
      <c r="L26"/>
      <c r="M26"/>
      <c r="N26"/>
      <c r="O26"/>
      <c r="P26" s="30">
        <v>1</v>
      </c>
      <c r="Q26"/>
      <c r="R26"/>
      <c r="S26"/>
    </row>
    <row r="27" spans="1:19" s="31" customFormat="1" ht="12" customHeight="1">
      <c r="A27" s="30">
        <v>32</v>
      </c>
      <c r="B27" s="30">
        <v>13</v>
      </c>
      <c r="C27" s="30" t="str">
        <f>IF(ISERROR(MATCH(B27,Cars!$A:$A,0)),"",VLOOKUP(B27,Cars!$A:$F,2))</f>
        <v>RP</v>
      </c>
      <c r="D27" s="30" t="str">
        <f>IF(ISERROR(MATCH(B27,Cars!$A:$A,0)),"",VLOOKUP(B27,Cars!$A:$F,3))</f>
        <v>URTX</v>
      </c>
      <c r="E27" s="30">
        <f>IF(ISERROR(MATCH(B27,Cars!$A:$A,0)),"",VLOOKUP(B27,Cars!$A:$F,4))</f>
        <v>818</v>
      </c>
      <c r="F27"/>
      <c r="G27" s="30">
        <v>1</v>
      </c>
      <c r="H27"/>
      <c r="I27"/>
      <c r="J27"/>
      <c r="K27"/>
      <c r="L27"/>
      <c r="M27"/>
      <c r="N27"/>
      <c r="O27"/>
      <c r="P27" s="30">
        <v>1</v>
      </c>
      <c r="Q27"/>
      <c r="R27"/>
      <c r="S27"/>
    </row>
    <row r="28" spans="1:19" s="31" customFormat="1" ht="12" customHeight="1">
      <c r="A28" s="30">
        <v>3</v>
      </c>
      <c r="B28" s="30">
        <v>53</v>
      </c>
      <c r="C28" s="30" t="str">
        <f>IF(ISERROR(MATCH(B28,Cars!$A:$A,0)),"",VLOOKUP(B28,Cars!$A:$F,2))</f>
        <v>RP</v>
      </c>
      <c r="D28" s="30" t="str">
        <f>IF(ISERROR(MATCH(B28,Cars!$A:$A,0)),"",VLOOKUP(B28,Cars!$A:$F,3))</f>
        <v>SFRD</v>
      </c>
      <c r="E28" s="30">
        <f>IF(ISERROR(MATCH(B28,Cars!$A:$A,0)),"",VLOOKUP(B28,Cars!$A:$F,4))</f>
        <v>14187</v>
      </c>
      <c r="F28"/>
      <c r="G28"/>
      <c r="H28" s="30">
        <v>1</v>
      </c>
      <c r="I28"/>
      <c r="J28"/>
      <c r="K28"/>
      <c r="L28"/>
      <c r="M28"/>
      <c r="N28"/>
      <c r="O28"/>
      <c r="P28" s="30">
        <v>1</v>
      </c>
      <c r="Q28"/>
      <c r="R28"/>
      <c r="S28"/>
    </row>
    <row r="29" spans="1:19" s="31" customFormat="1" ht="12" customHeight="1">
      <c r="A29" s="30">
        <v>4</v>
      </c>
      <c r="B29" s="30">
        <v>32</v>
      </c>
      <c r="C29" s="30" t="str">
        <f>IF(ISERROR(MATCH(B29,Cars!$A:$A,0)),"",VLOOKUP(B29,Cars!$A:$F,2))</f>
        <v>RP</v>
      </c>
      <c r="D29" s="30" t="str">
        <f>IF(ISERROR(MATCH(B29,Cars!$A:$A,0)),"",VLOOKUP(B29,Cars!$A:$F,3))</f>
        <v>SFRC</v>
      </c>
      <c r="E29" s="30">
        <f>IF(ISERROR(MATCH(B29,Cars!$A:$A,0)),"",VLOOKUP(B29,Cars!$A:$F,4))</f>
        <v>55465</v>
      </c>
      <c r="F29" s="32" t="s">
        <v>145</v>
      </c>
      <c r="G29"/>
      <c r="H29" s="30">
        <v>1</v>
      </c>
      <c r="I29"/>
      <c r="J29"/>
      <c r="K29"/>
      <c r="L29"/>
      <c r="M29"/>
      <c r="N29"/>
      <c r="O29"/>
      <c r="P29" s="30">
        <v>1</v>
      </c>
      <c r="Q29"/>
      <c r="R29"/>
      <c r="S29"/>
    </row>
    <row r="30" spans="1:19" s="31" customFormat="1" ht="12" customHeight="1">
      <c r="A30" s="30">
        <v>45</v>
      </c>
      <c r="B30" s="30">
        <v>74</v>
      </c>
      <c r="C30" s="30" t="str">
        <f>IF(ISERROR(MATCH(B30,Cars!$A:$A,0)),"",VLOOKUP(B30,Cars!$A:$F,2))</f>
        <v>RP</v>
      </c>
      <c r="D30" s="30" t="str">
        <f>IF(ISERROR(MATCH(B30,Cars!$A:$A,0)),"",VLOOKUP(B30,Cars!$A:$F,3))</f>
        <v>FGMR</v>
      </c>
      <c r="E30" s="30">
        <f>IF(ISERROR(MATCH(B30,Cars!$A:$A,0)),"",VLOOKUP(B30,Cars!$A:$F,4))</f>
        <v>13092</v>
      </c>
      <c r="F30"/>
      <c r="G30"/>
      <c r="H30"/>
      <c r="I30" s="30">
        <v>1</v>
      </c>
      <c r="J30" s="32" t="s">
        <v>144</v>
      </c>
      <c r="K30"/>
      <c r="L30"/>
      <c r="M30"/>
      <c r="N30"/>
      <c r="O30"/>
      <c r="P30" s="30">
        <v>1</v>
      </c>
      <c r="Q30"/>
      <c r="R30"/>
      <c r="S30"/>
    </row>
    <row r="31" spans="1:19" s="31" customFormat="1" ht="12" customHeight="1">
      <c r="A31" s="30">
        <v>44</v>
      </c>
      <c r="B31" s="30">
        <v>73</v>
      </c>
      <c r="C31" s="30" t="str">
        <f>IF(ISERROR(MATCH(B31,Cars!$A:$A,0)),"",VLOOKUP(B31,Cars!$A:$F,2))</f>
        <v>RP</v>
      </c>
      <c r="D31" s="30" t="str">
        <f>IF(ISERROR(MATCH(B31,Cars!$A:$A,0)),"",VLOOKUP(B31,Cars!$A:$F,3))</f>
        <v>WFCX</v>
      </c>
      <c r="E31" s="30">
        <f>IF(ISERROR(MATCH(B31,Cars!$A:$A,0)),"",VLOOKUP(B31,Cars!$A:$F,4))</f>
        <v>9345</v>
      </c>
      <c r="F31"/>
      <c r="G31"/>
      <c r="H31"/>
      <c r="I31" s="30">
        <v>1</v>
      </c>
      <c r="J31"/>
      <c r="K31"/>
      <c r="L31"/>
      <c r="M31"/>
      <c r="N31"/>
      <c r="O31"/>
      <c r="P31" s="30">
        <v>1</v>
      </c>
      <c r="Q31"/>
      <c r="R31"/>
      <c r="S31"/>
    </row>
    <row r="32" spans="1:19" s="31" customFormat="1" ht="12" customHeight="1">
      <c r="A32" s="30">
        <v>17</v>
      </c>
      <c r="B32" s="30">
        <v>17</v>
      </c>
      <c r="C32" s="30" t="str">
        <f>IF(ISERROR(MATCH(B32,Cars!$A:$A,0)),"",VLOOKUP(B32,Cars!$A:$F,2))</f>
        <v>LO</v>
      </c>
      <c r="D32" s="30" t="str">
        <f>IF(ISERROR(MATCH(B32,Cars!$A:$A,0)),"",VLOOKUP(B32,Cars!$A:$F,3))</f>
        <v>MILW</v>
      </c>
      <c r="E32" s="30">
        <f>IF(ISERROR(MATCH(B32,Cars!$A:$A,0)),"",VLOOKUP(B32,Cars!$A:$F,4))</f>
        <v>97507</v>
      </c>
      <c r="F32" s="30">
        <v>1</v>
      </c>
      <c r="G32"/>
      <c r="H32"/>
      <c r="I32"/>
      <c r="J32"/>
      <c r="K32"/>
      <c r="L32"/>
      <c r="M32"/>
      <c r="N32"/>
      <c r="O32"/>
      <c r="P32"/>
      <c r="Q32" s="30">
        <v>1</v>
      </c>
      <c r="R32"/>
      <c r="S32"/>
    </row>
    <row r="33" spans="1:19" s="31" customFormat="1" ht="12" customHeight="1">
      <c r="A33" s="30">
        <v>18</v>
      </c>
      <c r="B33" s="30">
        <v>66</v>
      </c>
      <c r="C33" s="30" t="str">
        <f>IF(ISERROR(MATCH(B33,Cars!$A:$A,0)),"",VLOOKUP(B33,Cars!$A:$F,2))</f>
        <v>LO</v>
      </c>
      <c r="D33" s="30" t="str">
        <f>IF(ISERROR(MATCH(B33,Cars!$A:$A,0)),"",VLOOKUP(B33,Cars!$A:$F,3))</f>
        <v>MILW</v>
      </c>
      <c r="E33" s="30">
        <f>IF(ISERROR(MATCH(B33,Cars!$A:$A,0)),"",VLOOKUP(B33,Cars!$A:$F,4))</f>
        <v>97637</v>
      </c>
      <c r="F33" s="30">
        <v>1</v>
      </c>
      <c r="G33"/>
      <c r="H33"/>
      <c r="I33"/>
      <c r="J33"/>
      <c r="K33"/>
      <c r="L33"/>
      <c r="M33"/>
      <c r="N33"/>
      <c r="O33"/>
      <c r="P33"/>
      <c r="Q33" s="30">
        <v>1</v>
      </c>
      <c r="R33"/>
      <c r="S33"/>
    </row>
    <row r="34" spans="1:19" s="31" customFormat="1" ht="12" customHeight="1">
      <c r="A34" s="30">
        <v>64</v>
      </c>
      <c r="B34" s="30">
        <v>61</v>
      </c>
      <c r="C34" s="30" t="str">
        <f>IF(ISERROR(MATCH(B34,Cars!$A:$A,0)),"",VLOOKUP(B34,Cars!$A:$F,2))</f>
        <v>LO</v>
      </c>
      <c r="D34" s="30" t="str">
        <f>IF(ISERROR(MATCH(B34,Cars!$A:$A,0)),"",VLOOKUP(B34,Cars!$A:$F,3))</f>
        <v>ATSF</v>
      </c>
      <c r="E34" s="30">
        <f>IF(ISERROR(MATCH(B34,Cars!$A:$A,0)),"",VLOOKUP(B34,Cars!$A:$F,4))</f>
        <v>307733</v>
      </c>
      <c r="F34"/>
      <c r="G34"/>
      <c r="H34" s="30">
        <v>1</v>
      </c>
      <c r="I34"/>
      <c r="J34"/>
      <c r="K34"/>
      <c r="L34"/>
      <c r="M34"/>
      <c r="N34"/>
      <c r="O34"/>
      <c r="P34"/>
      <c r="Q34" s="30">
        <v>1</v>
      </c>
      <c r="R34"/>
      <c r="S34"/>
    </row>
    <row r="35" spans="1:19" s="31" customFormat="1" ht="12" customHeight="1">
      <c r="A35" s="30">
        <v>25</v>
      </c>
      <c r="B35" s="30">
        <v>40</v>
      </c>
      <c r="C35" s="30" t="str">
        <f>IF(ISERROR(MATCH(B35,Cars!$A:$A,0)),"",VLOOKUP(B35,Cars!$A:$F,2))</f>
        <v>LO</v>
      </c>
      <c r="D35" s="30" t="str">
        <f>IF(ISERROR(MATCH(B35,Cars!$A:$A,0)),"",VLOOKUP(B35,Cars!$A:$F,3))</f>
        <v>SLSF</v>
      </c>
      <c r="E35" s="30">
        <f>IF(ISERROR(MATCH(B35,Cars!$A:$A,0)),"",VLOOKUP(B35,Cars!$A:$F,4))</f>
        <v>79038</v>
      </c>
      <c r="F35" s="32" t="s">
        <v>145</v>
      </c>
      <c r="G35"/>
      <c r="H35"/>
      <c r="I35"/>
      <c r="J35" s="30">
        <v>1</v>
      </c>
      <c r="K35"/>
      <c r="L35"/>
      <c r="M35"/>
      <c r="N35"/>
      <c r="O35"/>
      <c r="P35"/>
      <c r="Q35" s="30">
        <v>1</v>
      </c>
      <c r="R35"/>
      <c r="S35"/>
    </row>
    <row r="36" spans="1:19" s="31" customFormat="1" ht="12" customHeight="1">
      <c r="A36" s="30">
        <v>52</v>
      </c>
      <c r="B36" s="30">
        <v>72</v>
      </c>
      <c r="C36" s="30" t="str">
        <f>IF(ISERROR(MATCH(B36,Cars!$A:$A,0)),"",VLOOKUP(B36,Cars!$A:$F,2))</f>
        <v>LO</v>
      </c>
      <c r="D36" s="30" t="str">
        <f>IF(ISERROR(MATCH(B36,Cars!$A:$A,0)),"",VLOOKUP(B36,Cars!$A:$F,3))</f>
        <v>SLSF</v>
      </c>
      <c r="E36" s="30">
        <f>IF(ISERROR(MATCH(B36,Cars!$A:$A,0)),"",VLOOKUP(B36,Cars!$A:$F,4))</f>
        <v>79061</v>
      </c>
      <c r="F36"/>
      <c r="G36"/>
      <c r="H36"/>
      <c r="I36"/>
      <c r="J36" s="30">
        <v>1</v>
      </c>
      <c r="K36"/>
      <c r="L36"/>
      <c r="M36"/>
      <c r="N36" s="30"/>
      <c r="O36"/>
      <c r="P36"/>
      <c r="Q36" s="30">
        <v>1</v>
      </c>
      <c r="R36"/>
      <c r="S36"/>
    </row>
    <row r="37" spans="1:19" s="31" customFormat="1" ht="12" customHeight="1">
      <c r="A37" s="30">
        <v>34</v>
      </c>
      <c r="B37" s="30">
        <v>2</v>
      </c>
      <c r="C37" s="30" t="str">
        <f>IF(ISERROR(MATCH(B37,Cars!$A:$A,0)),"",VLOOKUP(B37,Cars!$A:$F,2))</f>
        <v>TM</v>
      </c>
      <c r="D37" s="30" t="str">
        <f>IF(ISERROR(MATCH(B37,Cars!$A:$A,0)),"",VLOOKUP(B37,Cars!$A:$F,3))</f>
        <v>UCOX</v>
      </c>
      <c r="E37" s="30">
        <f>IF(ISERROR(MATCH(B37,Cars!$A:$A,0)),"",VLOOKUP(B37,Cars!$A:$F,4))</f>
        <v>10172</v>
      </c>
      <c r="F37"/>
      <c r="G37" s="30">
        <v>1</v>
      </c>
      <c r="H37"/>
      <c r="I37"/>
      <c r="J37"/>
      <c r="K37"/>
      <c r="L37"/>
      <c r="M37"/>
      <c r="N37"/>
      <c r="O37"/>
      <c r="P37"/>
      <c r="Q37"/>
      <c r="R37" s="30">
        <v>1</v>
      </c>
      <c r="S37"/>
    </row>
    <row r="38" spans="1:19" s="31" customFormat="1" ht="12" customHeight="1">
      <c r="A38" s="30">
        <v>47</v>
      </c>
      <c r="B38" s="30">
        <v>70</v>
      </c>
      <c r="C38" s="30" t="str">
        <f>IF(ISERROR(MATCH(B38,Cars!$A:$A,0)),"",VLOOKUP(B38,Cars!$A:$F,2))</f>
        <v>TM</v>
      </c>
      <c r="D38" s="30" t="str">
        <f>IF(ISERROR(MATCH(B38,Cars!$A:$A,0)),"",VLOOKUP(B38,Cars!$A:$F,3))</f>
        <v>PLMX</v>
      </c>
      <c r="E38" s="30">
        <f>IF(ISERROR(MATCH(B38,Cars!$A:$A,0)),"",VLOOKUP(B38,Cars!$A:$F,4))</f>
        <v>2843</v>
      </c>
      <c r="F38"/>
      <c r="G38"/>
      <c r="H38" s="30">
        <v>1</v>
      </c>
      <c r="I38"/>
      <c r="J38"/>
      <c r="K38"/>
      <c r="L38"/>
      <c r="M38"/>
      <c r="N38"/>
      <c r="O38"/>
      <c r="P38"/>
      <c r="Q38"/>
      <c r="R38" s="30">
        <v>1</v>
      </c>
      <c r="S38"/>
    </row>
    <row r="39" spans="1:19" s="31" customFormat="1" ht="12" customHeight="1">
      <c r="A39" s="30">
        <v>47</v>
      </c>
      <c r="B39" s="30">
        <v>65</v>
      </c>
      <c r="C39" s="30" t="str">
        <f>IF(ISERROR(MATCH(B39,Cars!$A:$A,0)),"",VLOOKUP(B39,Cars!$A:$F,2))</f>
        <v>TM</v>
      </c>
      <c r="D39" s="30" t="str">
        <f>IF(ISERROR(MATCH(B39,Cars!$A:$A,0)),"",VLOOKUP(B39,Cars!$A:$F,3))</f>
        <v>MOBX</v>
      </c>
      <c r="E39" s="30">
        <f>IF(ISERROR(MATCH(B39,Cars!$A:$A,0)),"",VLOOKUP(B39,Cars!$A:$F,4))</f>
        <v>14230</v>
      </c>
      <c r="F39"/>
      <c r="G39"/>
      <c r="H39"/>
      <c r="I39" s="30">
        <v>1</v>
      </c>
      <c r="J39"/>
      <c r="K39"/>
      <c r="L39"/>
      <c r="M39"/>
      <c r="N39"/>
      <c r="O39"/>
      <c r="P39"/>
      <c r="Q39"/>
      <c r="R39" s="30">
        <v>1</v>
      </c>
      <c r="S39"/>
    </row>
    <row r="40" spans="1:19" s="31" customFormat="1" ht="12" customHeight="1">
      <c r="A40" s="30">
        <v>20</v>
      </c>
      <c r="B40" s="30">
        <v>3</v>
      </c>
      <c r="C40" s="30" t="str">
        <f>IF(ISERROR(MATCH(B40,Cars!$A:$A,0)),"",VLOOKUP(B40,Cars!$A:$F,2))</f>
        <v>LO</v>
      </c>
      <c r="D40" s="30" t="str">
        <f>IF(ISERROR(MATCH(B40,Cars!$A:$A,0)),"",VLOOKUP(B40,Cars!$A:$F,3))</f>
        <v>MILW</v>
      </c>
      <c r="E40" s="30">
        <f>IF(ISERROR(MATCH(B40,Cars!$A:$A,0)),"",VLOOKUP(B40,Cars!$A:$F,4))</f>
        <v>97658</v>
      </c>
      <c r="F40" s="30">
        <v>1</v>
      </c>
      <c r="G40"/>
      <c r="H40"/>
      <c r="I40"/>
      <c r="J40"/>
      <c r="K40"/>
      <c r="L40"/>
      <c r="M40"/>
      <c r="N40"/>
      <c r="O40"/>
      <c r="P40"/>
      <c r="Q40"/>
      <c r="R40"/>
      <c r="S40" s="30">
        <v>1</v>
      </c>
    </row>
    <row r="41" spans="1:19" s="31" customFormat="1" ht="12" customHeight="1">
      <c r="A41" s="30">
        <v>63</v>
      </c>
      <c r="B41" s="30">
        <v>39</v>
      </c>
      <c r="C41" s="30" t="str">
        <f>IF(ISERROR(MATCH(B41,Cars!$A:$A,0)),"",VLOOKUP(B41,Cars!$A:$F,2))</f>
        <v>LO</v>
      </c>
      <c r="D41" s="30" t="str">
        <f>IF(ISERROR(MATCH(B41,Cars!$A:$A,0)),"",VLOOKUP(B41,Cars!$A:$F,3))</f>
        <v>MILW</v>
      </c>
      <c r="E41" s="30">
        <f>IF(ISERROR(MATCH(B41,Cars!$A:$A,0)),"",VLOOKUP(B41,Cars!$A:$F,4))</f>
        <v>100626</v>
      </c>
      <c r="F41" s="30">
        <v>1</v>
      </c>
      <c r="G41"/>
      <c r="H41"/>
      <c r="I41"/>
      <c r="J41"/>
      <c r="K41"/>
      <c r="L41"/>
      <c r="M41"/>
      <c r="N41"/>
      <c r="O41"/>
      <c r="P41"/>
      <c r="Q41"/>
      <c r="R41"/>
      <c r="S41" s="30">
        <v>1</v>
      </c>
    </row>
    <row r="42" spans="1:19" s="31" customFormat="1" ht="12" customHeight="1">
      <c r="A42" s="30">
        <v>35</v>
      </c>
      <c r="B42" s="30">
        <v>16</v>
      </c>
      <c r="C42" s="30" t="str">
        <f>IF(ISERROR(MATCH(B42,Cars!$A:$A,0)),"",VLOOKUP(B42,Cars!$A:$F,2))</f>
        <v>LO</v>
      </c>
      <c r="D42" s="30" t="str">
        <f>IF(ISERROR(MATCH(B42,Cars!$A:$A,0)),"",VLOOKUP(B42,Cars!$A:$F,3))</f>
        <v>RI</v>
      </c>
      <c r="E42" s="30">
        <f>IF(ISERROR(MATCH(B42,Cars!$A:$A,0)),"",VLOOKUP(B42,Cars!$A:$F,4))</f>
        <v>131053</v>
      </c>
      <c r="F42"/>
      <c r="G42" s="30">
        <v>1</v>
      </c>
      <c r="H42"/>
      <c r="I42"/>
      <c r="J42"/>
      <c r="K42"/>
      <c r="L42"/>
      <c r="M42"/>
      <c r="N42"/>
      <c r="O42"/>
      <c r="P42"/>
      <c r="Q42"/>
      <c r="R42"/>
      <c r="S42" s="30">
        <v>1</v>
      </c>
    </row>
    <row r="43" spans="1:19" s="31" customFormat="1" ht="12" customHeight="1">
      <c r="A43" s="30">
        <v>46</v>
      </c>
      <c r="B43" s="30">
        <v>60</v>
      </c>
      <c r="C43" s="30" t="str">
        <f>IF(ISERROR(MATCH(B43,Cars!$A:$A,0)),"",VLOOKUP(B43,Cars!$A:$F,2))</f>
        <v>LO</v>
      </c>
      <c r="D43" s="30" t="str">
        <f>IF(ISERROR(MATCH(B43,Cars!$A:$A,0)),"",VLOOKUP(B43,Cars!$A:$F,3))</f>
        <v>BN</v>
      </c>
      <c r="E43" s="30">
        <f>IF(ISERROR(MATCH(B43,Cars!$A:$A,0)),"",VLOOKUP(B43,Cars!$A:$F,4))</f>
        <v>450876</v>
      </c>
      <c r="F43"/>
      <c r="G43"/>
      <c r="H43"/>
      <c r="I43" s="30">
        <v>1</v>
      </c>
      <c r="J43"/>
      <c r="K43"/>
      <c r="L43"/>
      <c r="M43"/>
      <c r="N43"/>
      <c r="O43"/>
      <c r="P43"/>
      <c r="Q43"/>
      <c r="R43"/>
      <c r="S43" s="30">
        <v>1</v>
      </c>
    </row>
    <row r="44" spans="1:19" s="31" customFormat="1" ht="12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s="31" customFormat="1" ht="12.75">
      <c r="A45" s="30" t="s">
        <v>143</v>
      </c>
      <c r="B45" s="30"/>
      <c r="C45" s="30"/>
      <c r="D45" s="30"/>
      <c r="E45" s="30">
        <f>SUM(F45:J45)</f>
        <v>42</v>
      </c>
      <c r="F45" s="30">
        <f>SUM(F2:F44)</f>
        <v>13</v>
      </c>
      <c r="G45" s="30">
        <f aca="true" t="shared" si="0" ref="G45:S45">SUM(G2:G44)</f>
        <v>7</v>
      </c>
      <c r="H45" s="30">
        <f t="shared" si="0"/>
        <v>7</v>
      </c>
      <c r="I45" s="30">
        <f t="shared" si="0"/>
        <v>8</v>
      </c>
      <c r="J45" s="30">
        <f t="shared" si="0"/>
        <v>7</v>
      </c>
      <c r="K45" s="30">
        <f t="shared" si="0"/>
        <v>5</v>
      </c>
      <c r="L45" s="30">
        <f t="shared" si="0"/>
        <v>5</v>
      </c>
      <c r="M45" s="30">
        <f t="shared" si="0"/>
        <v>4</v>
      </c>
      <c r="N45" s="30">
        <f t="shared" si="0"/>
        <v>4</v>
      </c>
      <c r="O45" s="30">
        <f t="shared" si="0"/>
        <v>5</v>
      </c>
      <c r="P45" s="30">
        <f t="shared" si="0"/>
        <v>7</v>
      </c>
      <c r="Q45" s="30">
        <f t="shared" si="0"/>
        <v>5</v>
      </c>
      <c r="R45" s="30">
        <f t="shared" si="0"/>
        <v>3</v>
      </c>
      <c r="S45" s="30">
        <f t="shared" si="0"/>
        <v>4</v>
      </c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21" s="31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31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31" customFormat="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</sheetData>
  <sheetProtection/>
  <printOptions gridLines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7"/>
  <sheetViews>
    <sheetView zoomScalePageLayoutView="0" workbookViewId="0" topLeftCell="A1">
      <selection activeCell="A14" sqref="A14"/>
    </sheetView>
  </sheetViews>
  <sheetFormatPr defaultColWidth="9.140625" defaultRowHeight="12.75"/>
  <sheetData>
    <row r="5" spans="1:5" ht="12.75">
      <c r="A5" s="30">
        <v>53</v>
      </c>
      <c r="B5" s="30">
        <v>10</v>
      </c>
      <c r="C5" s="30" t="str">
        <f>IF(ISERROR(MATCH(B5,Cars!$A:$A,0)),"",VLOOKUP(B5,Cars!$A:$F,2))</f>
        <v>RP</v>
      </c>
      <c r="D5" s="30" t="str">
        <f>IF(ISERROR(MATCH(B5,Cars!$A:$A,0)),"",VLOOKUP(B5,Cars!$A:$F,3))</f>
        <v>IBPX</v>
      </c>
      <c r="E5" s="30">
        <f>IF(ISERROR(MATCH(B5,Cars!$A:$A,0)),"",VLOOKUP(B5,Cars!$A:$F,4))</f>
        <v>700</v>
      </c>
    </row>
    <row r="6" spans="1:5" ht="12.75">
      <c r="A6" s="30">
        <v>60</v>
      </c>
      <c r="B6" s="30">
        <v>11</v>
      </c>
      <c r="C6" s="30" t="str">
        <f>IF(ISERROR(MATCH(B6,Cars!$A:$A,0)),"",VLOOKUP(B6,Cars!$A:$F,2))</f>
        <v>XM</v>
      </c>
      <c r="D6" s="30" t="str">
        <f>IF(ISERROR(MATCH(B6,Cars!$A:$A,0)),"",VLOOKUP(B6,Cars!$A:$F,3))</f>
        <v>ATSF</v>
      </c>
      <c r="E6" s="30">
        <f>IF(ISERROR(MATCH(B6,Cars!$A:$A,0)),"",VLOOKUP(B6,Cars!$A:$F,4))</f>
        <v>16989</v>
      </c>
    </row>
    <row r="7" spans="1:5" ht="12.75">
      <c r="A7" s="30">
        <v>51</v>
      </c>
      <c r="B7" s="30">
        <v>7</v>
      </c>
      <c r="C7" s="30" t="str">
        <f>IF(ISERROR(MATCH(B7,Cars!$A:$A,0)),"",VLOOKUP(B7,Cars!$A:$F,2))</f>
        <v>FM</v>
      </c>
      <c r="D7" s="30" t="str">
        <f>IF(ISERROR(MATCH(B7,Cars!$A:$A,0)),"",VLOOKUP(B7,Cars!$A:$F,3))</f>
        <v>SOO</v>
      </c>
      <c r="E7" s="30">
        <f>IF(ISERROR(MATCH(B7,Cars!$A:$A,0)),"",VLOOKUP(B7,Cars!$A:$F,4))</f>
        <v>5243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Hopkins</dc:creator>
  <cp:keywords/>
  <dc:description/>
  <cp:lastModifiedBy>Kelly Loyd</cp:lastModifiedBy>
  <cp:lastPrinted>2011-09-12T04:31:39Z</cp:lastPrinted>
  <dcterms:created xsi:type="dcterms:W3CDTF">2004-01-08T02:20:02Z</dcterms:created>
  <dcterms:modified xsi:type="dcterms:W3CDTF">2011-09-12T04:32:50Z</dcterms:modified>
  <cp:category/>
  <cp:version/>
  <cp:contentType/>
  <cp:contentStatus/>
</cp:coreProperties>
</file>